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IjikJfQCwiZ3K0fib4ppkh/VKdiQy50z8JLYLlmBVaaGcoiPLu08ax+Q3MYFbk1Pu/a16cpmjqVO2z3ApSLpHA==" workbookSaltValue="cVhS1JJmX8Ef9OYzSAlUyg==" workbookSpinCount="100000" lockStructure="1"/>
  <bookViews>
    <workbookView xWindow="240" yWindow="105" windowWidth="14805" windowHeight="8010"/>
  </bookViews>
  <sheets>
    <sheet name="Übersicht" sheetId="7" r:id="rId1"/>
    <sheet name="Sport Studium" sheetId="1" r:id="rId2"/>
    <sheet name="Sport Examen" sheetId="4" r:id="rId3"/>
    <sheet name="Mathe Studium" sheetId="2" r:id="rId4"/>
    <sheet name="Mathe Examen" sheetId="3" r:id="rId5"/>
    <sheet name="EWS" sheetId="6" r:id="rId6"/>
    <sheet name="Dropdown-Listen" sheetId="5" state="hidden" r:id="rId7"/>
  </sheets>
  <definedNames>
    <definedName name="benotet">'Dropdown-Listen'!$D$2:$D$12</definedName>
    <definedName name="Bewertung">'Dropdown-Listen'!$A$2:$A$4</definedName>
    <definedName name="Noten_Examen">'Dropdown-Listen'!$E$2:$E$8</definedName>
    <definedName name="ohneP">'Dropdown-Listen'!$C$2:$C$3</definedName>
    <definedName name="studienbeginn">'Dropdown-Listen'!$F$2:$F$3</definedName>
    <definedName name="unbenotet">'Dropdown-Listen'!$B$2:$B$3</definedName>
  </definedNames>
  <calcPr calcId="152511"/>
</workbook>
</file>

<file path=xl/calcChain.xml><?xml version="1.0" encoding="utf-8"?>
<calcChain xmlns="http://schemas.openxmlformats.org/spreadsheetml/2006/main">
  <c r="C13" i="3" l="1"/>
  <c r="C12" i="3"/>
  <c r="C66" i="4"/>
  <c r="D70" i="4"/>
  <c r="D69" i="4"/>
  <c r="C65" i="4" s="1"/>
  <c r="C41" i="4"/>
  <c r="E68" i="1"/>
  <c r="E67" i="1"/>
  <c r="C68" i="1"/>
  <c r="C67" i="1"/>
  <c r="E41" i="1"/>
  <c r="E36" i="1"/>
  <c r="G4" i="6" l="1"/>
  <c r="G5" i="6"/>
  <c r="G6" i="6"/>
  <c r="G7" i="6"/>
  <c r="G8" i="6"/>
  <c r="G9" i="6"/>
  <c r="G10" i="6"/>
  <c r="G11" i="6"/>
  <c r="G12" i="6"/>
  <c r="G13" i="6"/>
  <c r="G14" i="6"/>
  <c r="G3" i="6"/>
  <c r="C17" i="7" l="1"/>
  <c r="D15" i="7"/>
  <c r="C12" i="7"/>
  <c r="D12" i="7"/>
  <c r="D11" i="7"/>
  <c r="D10" i="7"/>
  <c r="C6" i="7"/>
  <c r="D6" i="7"/>
  <c r="C7" i="7"/>
  <c r="D7" i="7"/>
  <c r="D5" i="7"/>
  <c r="B12" i="7"/>
  <c r="B7" i="7"/>
  <c r="B6" i="7"/>
  <c r="D23" i="6"/>
  <c r="C23" i="6" s="1"/>
  <c r="D28" i="6"/>
  <c r="C25" i="6" s="1"/>
  <c r="B15" i="7" s="1"/>
  <c r="E16" i="6"/>
  <c r="F10" i="6" s="1"/>
  <c r="D16" i="6"/>
  <c r="F9" i="6"/>
  <c r="F7" i="6"/>
  <c r="F5" i="6"/>
  <c r="E70" i="4"/>
  <c r="C70" i="4"/>
  <c r="E69" i="4"/>
  <c r="C69" i="4"/>
  <c r="E68" i="4"/>
  <c r="E16" i="3"/>
  <c r="C16" i="3"/>
  <c r="E15" i="3"/>
  <c r="G45" i="2"/>
  <c r="D68" i="4"/>
  <c r="D16" i="3"/>
  <c r="D15" i="3"/>
  <c r="B11" i="7" s="1"/>
  <c r="D73" i="1"/>
  <c r="C73" i="1" s="1"/>
  <c r="D77" i="1"/>
  <c r="C74" i="1" s="1"/>
  <c r="D40" i="2"/>
  <c r="D45" i="2"/>
  <c r="C42" i="2" s="1"/>
  <c r="B10" i="7" s="1"/>
  <c r="C15" i="7" l="1"/>
  <c r="C45" i="2"/>
  <c r="C10" i="7"/>
  <c r="B5" i="7"/>
  <c r="C64" i="4"/>
  <c r="C15" i="3"/>
  <c r="C11" i="7"/>
  <c r="C68" i="4"/>
  <c r="C5" i="7"/>
  <c r="C3" i="7"/>
  <c r="B3" i="7"/>
  <c r="F12" i="6"/>
  <c r="F11" i="6"/>
  <c r="F4" i="6"/>
  <c r="F8" i="6"/>
  <c r="F14" i="6"/>
  <c r="F3" i="6"/>
  <c r="F13" i="6"/>
  <c r="F6" i="6"/>
  <c r="C53" i="4"/>
  <c r="C52" i="4"/>
  <c r="C47" i="4"/>
  <c r="C46" i="4"/>
  <c r="C40" i="4"/>
  <c r="C39" i="4"/>
  <c r="C38" i="4"/>
  <c r="C33" i="4"/>
  <c r="C32" i="4"/>
  <c r="C31" i="4"/>
  <c r="C26" i="4"/>
  <c r="C25" i="4"/>
  <c r="C24" i="4"/>
  <c r="C23" i="4"/>
  <c r="C22" i="4"/>
  <c r="C51" i="4"/>
  <c r="C45" i="4"/>
  <c r="C37" i="4"/>
  <c r="C30" i="4"/>
  <c r="C21" i="4"/>
  <c r="C17" i="4"/>
  <c r="C16" i="4"/>
  <c r="C15" i="4"/>
  <c r="C14" i="4"/>
  <c r="C10" i="4"/>
  <c r="C9" i="4"/>
  <c r="C8" i="4"/>
  <c r="C7" i="4"/>
  <c r="C49" i="4"/>
  <c r="C43" i="4"/>
  <c r="C35" i="4"/>
  <c r="C28" i="4"/>
  <c r="C19" i="4"/>
  <c r="C12" i="4"/>
  <c r="C5" i="4"/>
  <c r="D27" i="6" l="1"/>
  <c r="C24" i="6" s="1"/>
  <c r="G28" i="6"/>
  <c r="C28" i="6" s="1"/>
  <c r="G27" i="6"/>
  <c r="D14" i="7" s="1"/>
  <c r="C40" i="2"/>
  <c r="E38" i="2"/>
  <c r="F34" i="2" s="1"/>
  <c r="G34" i="2" s="1"/>
  <c r="D38" i="2"/>
  <c r="F36" i="2"/>
  <c r="G36" i="2" s="1"/>
  <c r="E29" i="2"/>
  <c r="F25" i="2" s="1"/>
  <c r="G25" i="2" s="1"/>
  <c r="D29" i="2"/>
  <c r="G26" i="2"/>
  <c r="F26" i="2"/>
  <c r="G24" i="2"/>
  <c r="F24" i="2"/>
  <c r="G22" i="2"/>
  <c r="F22" i="2"/>
  <c r="F20" i="2"/>
  <c r="G20" i="2" s="1"/>
  <c r="F18" i="2"/>
  <c r="G18" i="2" s="1"/>
  <c r="F16" i="2"/>
  <c r="G16" i="2" s="1"/>
  <c r="F14" i="2"/>
  <c r="G14" i="2" s="1"/>
  <c r="G12" i="2"/>
  <c r="F12" i="2"/>
  <c r="G11" i="2"/>
  <c r="F11" i="2"/>
  <c r="G9" i="2"/>
  <c r="F9" i="2"/>
  <c r="G8" i="2"/>
  <c r="F8" i="2"/>
  <c r="G7" i="2"/>
  <c r="F7" i="2"/>
  <c r="G5" i="2"/>
  <c r="F5" i="2"/>
  <c r="G4" i="2"/>
  <c r="F4" i="2"/>
  <c r="G3" i="2"/>
  <c r="F3" i="2"/>
  <c r="B14" i="7" l="1"/>
  <c r="C14" i="7"/>
  <c r="C27" i="6"/>
  <c r="F10" i="2"/>
  <c r="G10" i="2" s="1"/>
  <c r="F19" i="2"/>
  <c r="G19" i="2" s="1"/>
  <c r="F23" i="2"/>
  <c r="G23" i="2" s="1"/>
  <c r="F6" i="2"/>
  <c r="G6" i="2" s="1"/>
  <c r="D44" i="2" s="1"/>
  <c r="C41" i="2" s="1"/>
  <c r="F27" i="2"/>
  <c r="G27" i="2" s="1"/>
  <c r="F35" i="2"/>
  <c r="G35" i="2" s="1"/>
  <c r="F15" i="2"/>
  <c r="G15" i="2" s="1"/>
  <c r="F33" i="2"/>
  <c r="G33" i="2" s="1"/>
  <c r="F13" i="2"/>
  <c r="G13" i="2" s="1"/>
  <c r="F17" i="2"/>
  <c r="G17" i="2" s="1"/>
  <c r="F21" i="2"/>
  <c r="G21" i="2" s="1"/>
  <c r="G69" i="1"/>
  <c r="F69" i="1"/>
  <c r="B9" i="7" l="1"/>
  <c r="C44" i="2"/>
  <c r="C9" i="7"/>
  <c r="G44" i="2"/>
  <c r="D9" i="7" s="1"/>
  <c r="G4" i="1"/>
  <c r="G5" i="1"/>
  <c r="G6" i="1"/>
  <c r="G7" i="1"/>
  <c r="G8" i="1"/>
  <c r="G9" i="1"/>
  <c r="G10" i="1"/>
  <c r="G11" i="1"/>
  <c r="G12" i="1"/>
  <c r="G13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8" i="1"/>
  <c r="G39" i="1"/>
  <c r="G40" i="1"/>
  <c r="G45" i="1"/>
  <c r="G46" i="1"/>
  <c r="G47" i="1"/>
  <c r="G49" i="1"/>
  <c r="G51" i="1"/>
  <c r="G52" i="1"/>
  <c r="G53" i="1"/>
  <c r="G58" i="1"/>
  <c r="G59" i="1"/>
  <c r="G3" i="1"/>
  <c r="F4" i="1"/>
  <c r="F5" i="1"/>
  <c r="F6" i="1"/>
  <c r="F7" i="1"/>
  <c r="F8" i="1"/>
  <c r="F9" i="1"/>
  <c r="F10" i="1"/>
  <c r="F11" i="1"/>
  <c r="F12" i="1"/>
  <c r="F13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8" i="1"/>
  <c r="F39" i="1"/>
  <c r="F40" i="1"/>
  <c r="F45" i="1"/>
  <c r="F46" i="1"/>
  <c r="F47" i="1"/>
  <c r="F49" i="1"/>
  <c r="F51" i="1"/>
  <c r="F52" i="1"/>
  <c r="F53" i="1"/>
  <c r="F58" i="1"/>
  <c r="F59" i="1"/>
  <c r="F3" i="1"/>
  <c r="E71" i="1"/>
  <c r="D71" i="1"/>
  <c r="E61" i="1"/>
  <c r="D61" i="1"/>
  <c r="F67" i="1" l="1"/>
  <c r="G67" i="1" s="1"/>
  <c r="D78" i="1" s="1"/>
  <c r="F68" i="1"/>
  <c r="G68" i="1" s="1"/>
  <c r="F66" i="1"/>
  <c r="G66" i="1" s="1"/>
  <c r="F65" i="1"/>
  <c r="G65" i="1" s="1"/>
  <c r="F15" i="1"/>
  <c r="G15" i="1" s="1"/>
  <c r="F57" i="1"/>
  <c r="G57" i="1" s="1"/>
  <c r="F37" i="1"/>
  <c r="G37" i="1" s="1"/>
  <c r="F54" i="1"/>
  <c r="G54" i="1" s="1"/>
  <c r="F50" i="1"/>
  <c r="G50" i="1" s="1"/>
  <c r="F42" i="1"/>
  <c r="G42" i="1" s="1"/>
  <c r="F18" i="1"/>
  <c r="G18" i="1" s="1"/>
  <c r="F14" i="1"/>
  <c r="G14" i="1" s="1"/>
  <c r="F41" i="1"/>
  <c r="G41" i="1" s="1"/>
  <c r="F21" i="1"/>
  <c r="G21" i="1" s="1"/>
  <c r="F17" i="1"/>
  <c r="G17" i="1" s="1"/>
  <c r="F56" i="1"/>
  <c r="G56" i="1" s="1"/>
  <c r="F48" i="1"/>
  <c r="G48" i="1" s="1"/>
  <c r="F44" i="1"/>
  <c r="G44" i="1" s="1"/>
  <c r="F36" i="1"/>
  <c r="G36" i="1" s="1"/>
  <c r="F20" i="1"/>
  <c r="G20" i="1" s="1"/>
  <c r="F16" i="1"/>
  <c r="G16" i="1" s="1"/>
  <c r="F55" i="1"/>
  <c r="G55" i="1" s="1"/>
  <c r="F43" i="1"/>
  <c r="G43" i="1" s="1"/>
  <c r="F19" i="1"/>
  <c r="G19" i="1" s="1"/>
  <c r="C4" i="7" l="1"/>
  <c r="C19" i="7" s="1"/>
  <c r="C75" i="1"/>
  <c r="B4" i="7" s="1"/>
  <c r="G78" i="1"/>
  <c r="D4" i="7" s="1"/>
  <c r="C78" i="1"/>
  <c r="G77" i="1"/>
  <c r="D3" i="7" s="1"/>
  <c r="B19" i="7" l="1"/>
  <c r="C77" i="1"/>
  <c r="D19" i="7"/>
</calcChain>
</file>

<file path=xl/comments1.xml><?xml version="1.0" encoding="utf-8"?>
<comments xmlns="http://schemas.openxmlformats.org/spreadsheetml/2006/main">
  <authors>
    <author>Autor</author>
  </authors>
  <commentList>
    <comment ref="D1" authorId="0" shapeId="0">
      <text>
        <r>
          <rPr>
            <sz val="9"/>
            <color indexed="81"/>
            <rFont val="Segoe UI"/>
            <family val="2"/>
          </rPr>
          <t>Alle Prozentzahlen beziehen sich auf die Endnote des ersten Staatsexamen nach LPO 1 neu</t>
        </r>
      </text>
    </comment>
    <comment ref="B17" authorId="0" shapeId="0">
      <text>
        <r>
          <rPr>
            <sz val="9"/>
            <color indexed="81"/>
            <rFont val="Segoe UI"/>
            <family val="2"/>
          </rPr>
          <t>ZA hier eingeben</t>
        </r>
      </text>
    </comment>
    <comment ref="B19" authorId="0" shapeId="0">
      <text>
        <r>
          <rPr>
            <sz val="9"/>
            <color indexed="81"/>
            <rFont val="Segoe UI"/>
            <family val="2"/>
          </rPr>
          <t>Dies ist die Note des 1. Staatsexamen.
Diese Note zählt 50% der Bewerbungsnote, die später für eine Stelle notwendig ist.
Das 2. Staatsexamen zählt die zweite Hälfte.</t>
        </r>
      </text>
    </comment>
    <comment ref="C19" authorId="0" shapeId="0">
      <text>
        <r>
          <rPr>
            <sz val="9"/>
            <color indexed="81"/>
            <rFont val="Segoe UI"/>
            <family val="2"/>
          </rPr>
          <t>Diese Zahl gibt in Prozent an, wie "sicher" die Endnote schon ist.
Je höher die Prozentzahl, desto gefestigter ist die Endnote.</t>
        </r>
      </text>
    </comment>
    <comment ref="A21" authorId="0" shapeId="0">
      <text>
        <r>
          <rPr>
            <sz val="9"/>
            <color indexed="81"/>
            <rFont val="Segoe UI"/>
            <family val="2"/>
          </rPr>
          <t>Seit Sommersemester 2013 gilt eine neue Prüfungsordnung. Dadurch haben sich Kleinigkeiten in der Berechnung geändert. 
z.B.: Gewichtung der HAs der 3er Kurse
und Benotung in Fachdidaktik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36" authorId="0" shapeId="0">
      <text>
        <r>
          <rPr>
            <sz val="9"/>
            <color indexed="81"/>
            <rFont val="Segoe UI"/>
            <family val="2"/>
          </rPr>
          <t>Eigentlich sind die Hausarbeiten die Prüfungen für die 3er Kurse</t>
        </r>
      </text>
    </comment>
    <comment ref="E36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Hausarbeiten werden bei FPO vor März 15 gleichgewichtig bewertet, jew. 5 ECTS</t>
        </r>
      </text>
    </comment>
    <comment ref="C67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seit FPO März 2013 benotet, wer vorher das Studium angefangen hat, unbenotet</t>
        </r>
      </text>
    </comment>
    <comment ref="C68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seit FPO März 2013 benotet, wer vorher das Studium angefangen hat, unbenotet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B22" authorId="0" shapeId="0">
      <text>
        <r>
          <rPr>
            <sz val="9"/>
            <color indexed="81"/>
            <rFont val="Segoe UI"/>
            <family val="2"/>
          </rPr>
          <t>Für Demo je eine Prüfung aus:  (nicht das gleiche wie Leistung)
-&gt;Hürdenlauf,
-&gt;Sprung (Hochsprung oder Weitsprung),
-&gt;Wurf/Stoß (Speer oder Schleuderball oder Kugel).</t>
        </r>
      </text>
    </comment>
    <comment ref="B24" authorId="0" shapeId="0">
      <text>
        <r>
          <rPr>
            <sz val="9"/>
            <color indexed="81"/>
            <rFont val="Segoe UI"/>
            <family val="2"/>
          </rPr>
          <t>Für Leistung je eine Prüfung aus:
-&gt;Lauf (100 m-Lauf oder 3000 m-Lauf),
-&gt;Sprung (Hochsprung oder Weitsprung),
-&gt;Wurf/Stoß (Speer oder Schleuderball oder Kugel).</t>
        </r>
      </text>
    </comment>
    <comment ref="B41" authorId="0" shapeId="0">
      <text>
        <r>
          <rPr>
            <sz val="9"/>
            <color indexed="81"/>
            <rFont val="Segoe UI"/>
            <family val="2"/>
          </rPr>
          <t>Prüfungsteilnehmer entscheidet ob er in Akrobatik, Jonglieren oder Einradfahren geprüft wird.
(bei Sportuni Erlangen meist: Parkour/Slackline/Partnerakrobatik)</t>
        </r>
      </text>
    </comment>
    <comment ref="B53" authorId="0" shapeId="0">
      <text>
        <r>
          <rPr>
            <sz val="9"/>
            <color indexed="81"/>
            <rFont val="Segoe UI"/>
            <family val="2"/>
          </rPr>
          <t>Bei Sportuni Erlangen werden meist 2 Abfahrten für Leistung gefahren.
Trage den Durchschnitt (gerundet auf eine ganze Note) ein. Bei ,5 wird zum besseren gerundet.</t>
        </r>
      </text>
    </comment>
  </commentList>
</comments>
</file>

<file path=xl/sharedStrings.xml><?xml version="1.0" encoding="utf-8"?>
<sst xmlns="http://schemas.openxmlformats.org/spreadsheetml/2006/main" count="359" uniqueCount="199">
  <si>
    <t>Name</t>
  </si>
  <si>
    <t>benotet?</t>
  </si>
  <si>
    <t>ECTS</t>
  </si>
  <si>
    <t>Einführung in die Sportwissenschaft</t>
  </si>
  <si>
    <t>Bewegungslehre I</t>
  </si>
  <si>
    <t>Trainingslehre</t>
  </si>
  <si>
    <t>Sportmed/Sportbiologie I</t>
  </si>
  <si>
    <t>Forschungsmethodologische Grundlagen</t>
  </si>
  <si>
    <t>Sportmed/Sportbio II</t>
  </si>
  <si>
    <t>Bewegungsbeobachtung/Motorisches Lernen</t>
  </si>
  <si>
    <t>Spez. Aspekte der Sportmed/Sportbio</t>
  </si>
  <si>
    <t>Bewegungslehre II</t>
  </si>
  <si>
    <t>Trainingsplanung/-steuerung</t>
  </si>
  <si>
    <t>Ballschule</t>
  </si>
  <si>
    <t>Basketball I</t>
  </si>
  <si>
    <t>Handball I</t>
  </si>
  <si>
    <t>Volleyball I</t>
  </si>
  <si>
    <t>Fußball I</t>
  </si>
  <si>
    <t>Kleine Spiele</t>
  </si>
  <si>
    <t>Basketball II</t>
  </si>
  <si>
    <t>Handball II</t>
  </si>
  <si>
    <t>Volleyball II</t>
  </si>
  <si>
    <t>Fußball II</t>
  </si>
  <si>
    <t>Basketball III</t>
  </si>
  <si>
    <t>Volleyball III</t>
  </si>
  <si>
    <t>Handball III</t>
  </si>
  <si>
    <t>Fußball III</t>
  </si>
  <si>
    <t>Leichtathletik III</t>
  </si>
  <si>
    <t>Gerätturnen III inkl. Bewegungskünste</t>
  </si>
  <si>
    <t>Gymnastik / Tanz III</t>
  </si>
  <si>
    <t>Schwimmen III</t>
  </si>
  <si>
    <t>Gymnastik/ Tanz I</t>
  </si>
  <si>
    <t>Schwimmen I</t>
  </si>
  <si>
    <t>Leichtathletik I</t>
  </si>
  <si>
    <t>Gerätturnen I inkl. Bewegungskünste</t>
  </si>
  <si>
    <t>Schwimmen II</t>
  </si>
  <si>
    <t>Leichtathletik II</t>
  </si>
  <si>
    <t>Gesundheitsförderung in der Schule</t>
  </si>
  <si>
    <t>Sport, Bewegung und Gesundheit 1</t>
  </si>
  <si>
    <t>Sport, Bewegung und Gesundheit 2</t>
  </si>
  <si>
    <t>Gymnastik/ Tanz II</t>
  </si>
  <si>
    <t>Gerätturnen II inkl. Bewegungskünste</t>
  </si>
  <si>
    <t>Gymnastik mit Handgerät</t>
  </si>
  <si>
    <t>Ski o. Snowboard o. Skilanglauf II</t>
  </si>
  <si>
    <t>Eislauf</t>
  </si>
  <si>
    <t>Ski o. Snowboard o. Skilanglauf I</t>
  </si>
  <si>
    <t>Klettern o. Wassersport o. MTB o. Inline Skaten o. Triathlon o. Zirkus- o. Kampfkünste II oder entsprechende Angebote</t>
  </si>
  <si>
    <t>Klettern o. Wassersport o. MTB o. Inline Skaten o. Triathlon o. Zirkus- o. Kampfkünste I oder entsprechende Angebote</t>
  </si>
  <si>
    <t>Ausgewählte Aspekte des Schulsports</t>
  </si>
  <si>
    <t>Grundlagen der Sportdidaktik</t>
  </si>
  <si>
    <t>Grundlagen der Sportpädagogik</t>
  </si>
  <si>
    <t>Normative und empirische Sportpädagogik /-didaktik Seminar</t>
  </si>
  <si>
    <t>Normative und empirische Sportpädagogik /-didaktik Vorlesung</t>
  </si>
  <si>
    <t>Psychologische Aspekte des (Schul-)Sports</t>
  </si>
  <si>
    <t>Lehrübungen für den Sportunterricht</t>
  </si>
  <si>
    <t>Tennis o. Tischtennis o. Badminton I</t>
  </si>
  <si>
    <t>Stärkung Gesundheitsressourcen 1</t>
  </si>
  <si>
    <t>Stärkung Gesundheitsressourcen 2</t>
  </si>
  <si>
    <t>Interventionskonzepte und QM (Kurs 1)</t>
  </si>
  <si>
    <t>Bildung im Sport</t>
  </si>
  <si>
    <t>Diagnostik in unterschiedlichen Anwendungsfeldern</t>
  </si>
  <si>
    <t>ohne Prüfung</t>
  </si>
  <si>
    <t>Hausarbeit in einer Mannschaftssportart</t>
  </si>
  <si>
    <t>Hausarbeit in einer Individualsportart</t>
  </si>
  <si>
    <t>Fachwissenschaft:</t>
  </si>
  <si>
    <t>Fachdidaktik:</t>
  </si>
  <si>
    <t>benotet (Prüfungsleistung)</t>
  </si>
  <si>
    <t>unbenotet (Studienleistung)</t>
  </si>
  <si>
    <t>% von Fachwissenschaft</t>
  </si>
  <si>
    <t>unbenotet:</t>
  </si>
  <si>
    <t>bestanden</t>
  </si>
  <si>
    <t>benotet:</t>
  </si>
  <si>
    <t>ohne Prüfung:</t>
  </si>
  <si>
    <t>belegt</t>
  </si>
  <si>
    <t>erreichte ECTS Punkte:</t>
  </si>
  <si>
    <t>Durchschnittsnote Fachwissenschaft:</t>
  </si>
  <si>
    <t>Durchschnittsnote Fachdidaktik:</t>
  </si>
  <si>
    <t>Note/
bestanden/
belegt</t>
  </si>
  <si>
    <t>ECTS für korrekte Berechnung</t>
  </si>
  <si>
    <t>Tennis o. Tischtennis o. Badminton II inkl. Bewegungslernen und –beobachtung</t>
  </si>
  <si>
    <t>Projekt „Entwicklung und Umsetzung von Interventionen zur Gesundheitsförderung“ (Kurs 2)</t>
  </si>
  <si>
    <t>Summe ECTS Fachwissenschaft:</t>
  </si>
  <si>
    <t>Summe ECTS Fachdidaktik:</t>
  </si>
  <si>
    <t>↓ bitte eintragen</t>
  </si>
  <si>
    <t>% von Fach-didaktik</t>
  </si>
  <si>
    <t>% von Gesamt-note LPO 1</t>
  </si>
  <si>
    <t>Übungen zur Analysis I</t>
  </si>
  <si>
    <t>Übungen zur Analysis II</t>
  </si>
  <si>
    <t>Klausur zur Analysis I</t>
  </si>
  <si>
    <t>Klausur zur Analysis I + II</t>
  </si>
  <si>
    <t>Übungen zur Linearen Algebra I</t>
  </si>
  <si>
    <t>Übungen zur Linearen Algebra II</t>
  </si>
  <si>
    <t>Klausur zur Linearen Algebra I</t>
  </si>
  <si>
    <t>Klausur zur Linearen Algebra I + II</t>
  </si>
  <si>
    <t>Orientierungsseminar</t>
  </si>
  <si>
    <t>Mehrdimensionale Integration Übung</t>
  </si>
  <si>
    <t>Mehrdimensionale Integration Klausur</t>
  </si>
  <si>
    <t>Stochastische Modellbildung Übung</t>
  </si>
  <si>
    <t>Algebra Übung</t>
  </si>
  <si>
    <t>Vertiefungsmodul Körpertheorie Übung</t>
  </si>
  <si>
    <t>Wahlfach Angewandte Mathematik Übung</t>
  </si>
  <si>
    <t>Geometrie Übung</t>
  </si>
  <si>
    <t>Funktionentheorie Übung</t>
  </si>
  <si>
    <t>Gewöhnliche Differentialgleichungen Übung</t>
  </si>
  <si>
    <t>Stochastische Modellbildung Klausur</t>
  </si>
  <si>
    <t>Algebra Klausur</t>
  </si>
  <si>
    <t>Vertiefungsmodul Körpertheorie Klausur</t>
  </si>
  <si>
    <t>Wahlfach Angewandte Mathematik Klausur</t>
  </si>
  <si>
    <t>Geometrie Klausur</t>
  </si>
  <si>
    <t>Funktionentheorie Klausur</t>
  </si>
  <si>
    <t>Gewöhnliche Differentialgleichungen Klausur</t>
  </si>
  <si>
    <t>Note/
bestanden</t>
  </si>
  <si>
    <t>Didaktik der Geometrie</t>
  </si>
  <si>
    <t>Didaktik der Analysis</t>
  </si>
  <si>
    <t>Didaktik der Mathematik (Arithmetik)</t>
  </si>
  <si>
    <t>Didaktik des Mathematikunterrichts (Stochastik)</t>
  </si>
  <si>
    <t>Note</t>
  </si>
  <si>
    <t>Prüfung</t>
  </si>
  <si>
    <t>% von 
Gesamtnote
LPO 1</t>
  </si>
  <si>
    <t>Eine Aufgabengruppe aus der Analysis
(Bearbeitungszeit: 4 Stunden);
drei Aufgabengruppen werden zur Wahl gestellt;</t>
  </si>
  <si>
    <t>eine Aufgabengruppe aus Lineare Algebra, Algebra und Elemente der Zahlentheorie
(Bearbeitungszeit: 4 Stunden);
drei Aufgabengruppen werden zur Wahl gestellt;</t>
  </si>
  <si>
    <t>eine Aufgabe aus der Fachdidaktik
(Bearbeitungszeit: 3 Stunden);
drei Themen werden zur Wahl gestellt.</t>
  </si>
  <si>
    <t xml:space="preserve">     Eine Aufgabe aus Sportbiologie/Sportmedizin
    (Bearbeitungszeit: 4 Stunden);
    vier Themen werden zur Wahl gestellt;</t>
  </si>
  <si>
    <t xml:space="preserve">     eine Aufgabe aus Trainingswiss./Bewegungswiss.
    (Bearbeitungszeit: 4 Stunden);
    vier Themen werden zur Wahl gestellt;</t>
  </si>
  <si>
    <t xml:space="preserve">     eine Aufgabe aus der Sportpädagogik/Fachdidaktik
    (Bearbeitungszeit: 4 Stunden);
    vier Themen werden zur Wahl gestellt.</t>
  </si>
  <si>
    <t>Noten Examen:</t>
  </si>
  <si>
    <t>Bewertung:</t>
  </si>
  <si>
    <t>praktische/mündlich-theoretische Examen:</t>
  </si>
  <si>
    <t>Sportspiel 1:</t>
  </si>
  <si>
    <t>Sportspiel 2:</t>
  </si>
  <si>
    <t>Leichtathletik:</t>
  </si>
  <si>
    <t>Schwimmen:</t>
  </si>
  <si>
    <t>Turnen an Geräten einschließlich Bewegungskünste:</t>
  </si>
  <si>
    <t>Gymnastik und Tanz:</t>
  </si>
  <si>
    <t>Schneesport:</t>
  </si>
  <si>
    <t>Mündlich</t>
  </si>
  <si>
    <t>Demo 1</t>
  </si>
  <si>
    <t>Demo 2</t>
  </si>
  <si>
    <t>Leistung</t>
  </si>
  <si>
    <t>Leistung 1</t>
  </si>
  <si>
    <t>Leistung 2</t>
  </si>
  <si>
    <t>Leistung 3</t>
  </si>
  <si>
    <t>Boden</t>
  </si>
  <si>
    <t>Reck/Stufenbarren</t>
  </si>
  <si>
    <t>Barren/Schwebebalken</t>
  </si>
  <si>
    <t>Demo in Gymnastik mit Handgerät</t>
  </si>
  <si>
    <t>Leistung in Tanz (Einzeln oder Gruppe)</t>
  </si>
  <si>
    <t>Demo</t>
  </si>
  <si>
    <t>erreichte % Fachwissenschaft:</t>
  </si>
  <si>
    <t>erreichte % Fachdidaktik:</t>
  </si>
  <si>
    <t>Durchschnittsnote praktisch/mündlich:</t>
  </si>
  <si>
    <t>erreichte % praktisch/mündlich:</t>
  </si>
  <si>
    <t>erreichte % Fachwissenschaft der Note:</t>
  </si>
  <si>
    <t>erreichte % Fachdidaktik der Note:</t>
  </si>
  <si>
    <t>% von Gesamtnote LPO 1</t>
  </si>
  <si>
    <t>Studium:</t>
  </si>
  <si>
    <t>Examen:</t>
  </si>
  <si>
    <t>erreichte % Studium EWS:</t>
  </si>
  <si>
    <t>erreichte % Examen EWS:</t>
  </si>
  <si>
    <t>Durchschnittsnote Studium EWS</t>
  </si>
  <si>
    <t>Durchschnittsnote Examen EWS</t>
  </si>
  <si>
    <t>Geschichte der Pädagogik</t>
  </si>
  <si>
    <t>Theorien der Erziehung, Werteerziehung, Medienerziehung, Bildungstheorien</t>
  </si>
  <si>
    <t>Pädagogische Anthropologie oder Sozialisationstheorien</t>
  </si>
  <si>
    <t>Pädagogik Seminar</t>
  </si>
  <si>
    <t>Schulpädagogik Seminar</t>
  </si>
  <si>
    <t>Schulpädagogik Vorlesung (Kombiklausur 1+2)</t>
  </si>
  <si>
    <t>Psychologie 1. Vorlesung "Lernprozesse gestalten"</t>
  </si>
  <si>
    <t>Psychologie 2. Vorlesung "Lernermerkmale"</t>
  </si>
  <si>
    <t>Psychologie Seminar Bereich 1</t>
  </si>
  <si>
    <t>Examen EWS</t>
  </si>
  <si>
    <t>Psychologie Seminar Bereich 2</t>
  </si>
  <si>
    <t>Bereich</t>
  </si>
  <si>
    <t>erreichte %</t>
  </si>
  <si>
    <t>Sport Fachwissenschaft Studium:</t>
  </si>
  <si>
    <t>Sport Fachdidaktik Studium:</t>
  </si>
  <si>
    <t>Mathe Fachwissenschaft Studium:</t>
  </si>
  <si>
    <t>Mathe Fachdidaktik Studium:</t>
  </si>
  <si>
    <t>Sport Fachwissenschaft Examen</t>
  </si>
  <si>
    <t>Sport Fachdidaktik Examen:</t>
  </si>
  <si>
    <t>Mathe Fachwissenschaft Examen:</t>
  </si>
  <si>
    <t>Mathe Fachdidaktik Examen</t>
  </si>
  <si>
    <t>EWS Studium:</t>
  </si>
  <si>
    <t>EWS Examen:</t>
  </si>
  <si>
    <t>von %</t>
  </si>
  <si>
    <t>Schriftliche Hausarbeit (ZA):</t>
  </si>
  <si>
    <t>Endnote:</t>
  </si>
  <si>
    <t>Sport praktische/mündliche Examen:</t>
  </si>
  <si>
    <t>Studienbeginn:</t>
  </si>
  <si>
    <t>SoSe 13 oder später</t>
  </si>
  <si>
    <t>WiSe 12/13 oder früher</t>
  </si>
  <si>
    <r>
      <t xml:space="preserve">Sportstudium </t>
    </r>
    <r>
      <rPr>
        <b/>
        <sz val="11"/>
        <color theme="1"/>
        <rFont val="Calibri"/>
        <family val="2"/>
        <scheme val="minor"/>
      </rPr>
      <t>Beginn</t>
    </r>
    <r>
      <rPr>
        <sz val="11"/>
        <color theme="1"/>
        <rFont val="Calibri"/>
        <family val="2"/>
        <scheme val="minor"/>
      </rPr>
      <t>:</t>
    </r>
  </si>
  <si>
    <t>E-Mail:</t>
  </si>
  <si>
    <t>andi.fleischmann@fau.de</t>
  </si>
  <si>
    <t>Nachricht in Facebook:</t>
  </si>
  <si>
    <t>Akrobatik, Jonglieren, Einradfahren (Einzeln oder Gruppe)</t>
  </si>
  <si>
    <t>Version: 1.0</t>
  </si>
  <si>
    <t>facebook-nachricht.andifl.de &lt;= Klick</t>
  </si>
  <si>
    <t>Bei Fragen oder Verbesserungsvorschlägen, bitte schreibt mir!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</si>
</sst>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double">
        <color theme="4"/>
      </top>
      <bottom/>
      <diagonal/>
    </border>
    <border>
      <left style="thin">
        <color theme="0" tint="-0.1499679555650502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2" borderId="1" xfId="0" applyFont="1" applyFill="1" applyBorder="1"/>
    <xf numFmtId="10" fontId="0" fillId="0" borderId="1" xfId="1" applyNumberFormat="1" applyFon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2" fillId="2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 wrapText="1" indent="2"/>
    </xf>
    <xf numFmtId="0" fontId="2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0" fillId="0" borderId="2" xfId="0" applyNumberFormat="1" applyBorder="1"/>
    <xf numFmtId="164" fontId="0" fillId="0" borderId="2" xfId="0" applyNumberFormat="1" applyBorder="1"/>
    <xf numFmtId="10" fontId="0" fillId="0" borderId="1" xfId="0" applyNumberFormat="1" applyBorder="1" applyAlignment="1">
      <alignment horizontal="center"/>
    </xf>
    <xf numFmtId="10" fontId="0" fillId="0" borderId="0" xfId="0" applyNumberFormat="1"/>
    <xf numFmtId="9" fontId="0" fillId="0" borderId="0" xfId="0" applyNumberFormat="1"/>
    <xf numFmtId="164" fontId="0" fillId="0" borderId="0" xfId="0" applyNumberFormat="1"/>
    <xf numFmtId="0" fontId="0" fillId="0" borderId="1" xfId="0" applyFill="1" applyBorder="1"/>
    <xf numFmtId="10" fontId="0" fillId="0" borderId="1" xfId="1" applyNumberFormat="1" applyFont="1" applyFill="1" applyBorder="1"/>
    <xf numFmtId="0" fontId="0" fillId="0" borderId="0" xfId="0" applyFont="1"/>
    <xf numFmtId="0" fontId="0" fillId="0" borderId="0" xfId="0" applyFont="1" applyBorder="1"/>
    <xf numFmtId="0" fontId="6" fillId="0" borderId="0" xfId="0" applyFont="1"/>
    <xf numFmtId="2" fontId="2" fillId="0" borderId="2" xfId="0" applyNumberFormat="1" applyFont="1" applyBorder="1" applyAlignment="1">
      <alignment horizontal="center"/>
    </xf>
    <xf numFmtId="0" fontId="0" fillId="0" borderId="3" xfId="0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9" fontId="0" fillId="0" borderId="3" xfId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0" xfId="1" applyNumberFormat="1" applyFont="1" applyAlignment="1">
      <alignment horizontal="center"/>
    </xf>
    <xf numFmtId="0" fontId="0" fillId="3" borderId="1" xfId="0" applyFont="1" applyFill="1" applyBorder="1"/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10" fontId="2" fillId="0" borderId="3" xfId="1" applyNumberFormat="1" applyFont="1" applyBorder="1" applyAlignment="1">
      <alignment horizontal="center"/>
    </xf>
    <xf numFmtId="2" fontId="7" fillId="0" borderId="3" xfId="1" applyNumberFormat="1" applyFont="1" applyBorder="1" applyAlignment="1">
      <alignment horizontal="center"/>
    </xf>
    <xf numFmtId="0" fontId="0" fillId="6" borderId="0" xfId="0" applyFont="1" applyFill="1"/>
    <xf numFmtId="0" fontId="0" fillId="0" borderId="0" xfId="0" applyAlignment="1">
      <alignment horizontal="right"/>
    </xf>
    <xf numFmtId="0" fontId="0" fillId="0" borderId="4" xfId="0" applyFill="1" applyBorder="1"/>
    <xf numFmtId="0" fontId="0" fillId="0" borderId="0" xfId="0" applyAlignment="1">
      <alignment horizontal="right" indent="2"/>
    </xf>
    <xf numFmtId="0" fontId="0" fillId="0" borderId="2" xfId="0" applyBorder="1" applyAlignment="1">
      <alignment vertical="center" wrapText="1"/>
    </xf>
    <xf numFmtId="165" fontId="2" fillId="0" borderId="1" xfId="0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8" fillId="0" borderId="0" xfId="2" applyAlignment="1">
      <alignment horizontal="left"/>
    </xf>
    <xf numFmtId="0" fontId="0" fillId="0" borderId="0" xfId="0" applyProtection="1">
      <protection locked="0"/>
    </xf>
    <xf numFmtId="2" fontId="0" fillId="0" borderId="0" xfId="1" applyNumberFormat="1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3">
    <cellStyle name="Link" xfId="2" builtinId="8"/>
    <cellStyle name="Prozent" xfId="1" builtinId="5"/>
    <cellStyle name="Standard" xfId="0" builtinId="0"/>
  </cellStyles>
  <dxfs count="14">
    <dxf>
      <fill>
        <patternFill>
          <bgColor rgb="FF00B05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79998168889431442"/>
        </patternFill>
      </fill>
    </dxf>
    <dxf>
      <fill>
        <patternFill>
          <bgColor rgb="FF00B050"/>
        </patternFill>
      </fill>
    </dxf>
    <dxf>
      <fill>
        <patternFill>
          <bgColor theme="9" tint="0.79998168889431442"/>
        </patternFill>
      </fill>
    </dxf>
    <dxf>
      <fill>
        <patternFill>
          <bgColor rgb="FF00B05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facebook-nachricht.andifl.de/" TargetMode="External"/><Relationship Id="rId1" Type="http://schemas.openxmlformats.org/officeDocument/2006/relationships/hyperlink" Target="mailto:andi.fleischmann@fau.de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30"/>
  <sheetViews>
    <sheetView tabSelected="1" workbookViewId="0">
      <selection activeCell="B19" sqref="B19"/>
    </sheetView>
  </sheetViews>
  <sheetFormatPr baseColWidth="10" defaultRowHeight="15" x14ac:dyDescent="0.25"/>
  <cols>
    <col min="1" max="1" width="34.140625" bestFit="1" customWidth="1"/>
    <col min="2" max="2" width="15.5703125" customWidth="1"/>
    <col min="3" max="3" width="12.140625" bestFit="1" customWidth="1"/>
  </cols>
  <sheetData>
    <row r="1" spans="1:4" s="40" customFormat="1" ht="15.75" x14ac:dyDescent="0.25">
      <c r="A1" s="40" t="s">
        <v>172</v>
      </c>
      <c r="B1" s="43" t="s">
        <v>116</v>
      </c>
      <c r="C1" s="43" t="s">
        <v>173</v>
      </c>
      <c r="D1" s="43" t="s">
        <v>184</v>
      </c>
    </row>
    <row r="2" spans="1:4" s="21" customFormat="1" x14ac:dyDescent="0.25">
      <c r="B2" s="44"/>
      <c r="C2" s="44"/>
      <c r="D2" s="44"/>
    </row>
    <row r="3" spans="1:4" x14ac:dyDescent="0.25">
      <c r="A3" s="49" t="s">
        <v>174</v>
      </c>
      <c r="B3" s="61">
        <f>'Sport Studium'!C74</f>
        <v>0</v>
      </c>
      <c r="C3" s="47">
        <f>'Sport Studium'!D77</f>
        <v>0</v>
      </c>
      <c r="D3" s="47">
        <f>'Sport Studium'!G77</f>
        <v>0.1333333333333333</v>
      </c>
    </row>
    <row r="4" spans="1:4" x14ac:dyDescent="0.25">
      <c r="A4" s="49" t="s">
        <v>175</v>
      </c>
      <c r="B4" s="61">
        <f>'Sport Studium'!C75</f>
        <v>0</v>
      </c>
      <c r="C4" s="47">
        <f>'Sport Studium'!D78</f>
        <v>0</v>
      </c>
      <c r="D4" s="47">
        <f>'Sport Studium'!G78</f>
        <v>1.6666666666666666E-2</v>
      </c>
    </row>
    <row r="5" spans="1:4" x14ac:dyDescent="0.25">
      <c r="A5" s="50" t="s">
        <v>187</v>
      </c>
      <c r="B5" s="48">
        <f>'Sport Examen'!C64</f>
        <v>0</v>
      </c>
      <c r="C5" s="47">
        <f>'Sport Examen'!D68</f>
        <v>0</v>
      </c>
      <c r="D5" s="47">
        <f>'Sport Examen'!E68</f>
        <v>0.10000000000000002</v>
      </c>
    </row>
    <row r="6" spans="1:4" x14ac:dyDescent="0.25">
      <c r="A6" s="49" t="s">
        <v>178</v>
      </c>
      <c r="B6" s="48">
        <f>'Sport Examen'!C65</f>
        <v>0</v>
      </c>
      <c r="C6" s="47">
        <f>'Sport Examen'!D69</f>
        <v>0</v>
      </c>
      <c r="D6" s="47">
        <f>'Sport Examen'!E69</f>
        <v>0.1</v>
      </c>
    </row>
    <row r="7" spans="1:4" x14ac:dyDescent="0.25">
      <c r="A7" s="49" t="s">
        <v>179</v>
      </c>
      <c r="B7" s="48">
        <f>'Sport Examen'!C66</f>
        <v>0</v>
      </c>
      <c r="C7" s="47">
        <f>'Sport Examen'!D70</f>
        <v>0</v>
      </c>
      <c r="D7" s="47">
        <f>'Sport Examen'!E70</f>
        <v>2.5000000000000001E-2</v>
      </c>
    </row>
    <row r="8" spans="1:4" x14ac:dyDescent="0.25">
      <c r="A8" s="39"/>
      <c r="B8" s="48"/>
      <c r="C8" s="47"/>
      <c r="D8" s="47"/>
    </row>
    <row r="9" spans="1:4" x14ac:dyDescent="0.25">
      <c r="A9" s="51" t="s">
        <v>176</v>
      </c>
      <c r="B9" s="61">
        <f>'Mathe Studium'!C41</f>
        <v>0</v>
      </c>
      <c r="C9" s="47">
        <f>'Mathe Studium'!D44</f>
        <v>0</v>
      </c>
      <c r="D9" s="47">
        <f>'Mathe Studium'!G44</f>
        <v>0.13333333333333333</v>
      </c>
    </row>
    <row r="10" spans="1:4" x14ac:dyDescent="0.25">
      <c r="A10" s="51" t="s">
        <v>177</v>
      </c>
      <c r="B10" s="61">
        <f>'Mathe Studium'!C42</f>
        <v>0</v>
      </c>
      <c r="C10" s="47">
        <f>'Mathe Studium'!D45</f>
        <v>0</v>
      </c>
      <c r="D10" s="47">
        <f>'Mathe Studium'!G45</f>
        <v>1.6666666666666666E-2</v>
      </c>
    </row>
    <row r="11" spans="1:4" x14ac:dyDescent="0.25">
      <c r="A11" s="51" t="s">
        <v>180</v>
      </c>
      <c r="B11" s="48">
        <f>'Mathe Examen'!C12</f>
        <v>0</v>
      </c>
      <c r="C11" s="47">
        <f>'Mathe Examen'!D15</f>
        <v>0</v>
      </c>
      <c r="D11" s="47">
        <f>'Mathe Examen'!E15</f>
        <v>0.2</v>
      </c>
    </row>
    <row r="12" spans="1:4" x14ac:dyDescent="0.25">
      <c r="A12" s="51" t="s">
        <v>181</v>
      </c>
      <c r="B12" s="48">
        <f>'Mathe Examen'!C13</f>
        <v>0</v>
      </c>
      <c r="C12" s="47">
        <f>'Mathe Examen'!D16</f>
        <v>0</v>
      </c>
      <c r="D12" s="47">
        <f>'Mathe Examen'!E16</f>
        <v>2.5000000000000001E-2</v>
      </c>
    </row>
    <row r="13" spans="1:4" x14ac:dyDescent="0.25">
      <c r="A13" s="38"/>
      <c r="B13" s="48"/>
      <c r="C13" s="47"/>
      <c r="D13" s="47"/>
    </row>
    <row r="14" spans="1:4" x14ac:dyDescent="0.25">
      <c r="A14" s="52" t="s">
        <v>182</v>
      </c>
      <c r="B14" s="61">
        <f>EWS!C24</f>
        <v>0</v>
      </c>
      <c r="C14" s="47">
        <f>EWS!D27</f>
        <v>0</v>
      </c>
      <c r="D14" s="47">
        <f>EWS!G27</f>
        <v>0.05</v>
      </c>
    </row>
    <row r="15" spans="1:4" x14ac:dyDescent="0.25">
      <c r="A15" s="52" t="s">
        <v>183</v>
      </c>
      <c r="B15" s="48">
        <f>EWS!C25</f>
        <v>0</v>
      </c>
      <c r="C15" s="47">
        <f>EWS!D28</f>
        <v>0</v>
      </c>
      <c r="D15" s="47">
        <f>EWS!G28</f>
        <v>7.4999999999999997E-2</v>
      </c>
    </row>
    <row r="16" spans="1:4" x14ac:dyDescent="0.25">
      <c r="A16" s="38"/>
      <c r="B16" s="48"/>
      <c r="C16" s="47"/>
      <c r="D16" s="47"/>
    </row>
    <row r="17" spans="1:6" x14ac:dyDescent="0.25">
      <c r="A17" s="55" t="s">
        <v>185</v>
      </c>
      <c r="B17" s="65"/>
      <c r="C17" s="47">
        <f>IF($B$17&lt;&gt;"",$D$17,0)</f>
        <v>0</v>
      </c>
      <c r="D17" s="47">
        <v>0.125</v>
      </c>
    </row>
    <row r="18" spans="1:6" ht="15.75" thickBot="1" x14ac:dyDescent="0.3">
      <c r="B18" s="48"/>
      <c r="C18" s="47"/>
      <c r="D18" s="45"/>
    </row>
    <row r="19" spans="1:6" ht="19.5" thickTop="1" x14ac:dyDescent="0.3">
      <c r="A19" s="42" t="s">
        <v>186</v>
      </c>
      <c r="B19" s="54" t="str">
        <f>IF($C$19=0,"---",ROUNDDOWN(SUMPRODUCT($B$3:$B$17,$C$3:$C$17)/$C$19,2))</f>
        <v>---</v>
      </c>
      <c r="C19" s="53">
        <f>SUM(C3:C17)</f>
        <v>0</v>
      </c>
      <c r="D19" s="46">
        <f>SUM(D3:D17)</f>
        <v>1</v>
      </c>
    </row>
    <row r="21" spans="1:6" x14ac:dyDescent="0.25">
      <c r="A21" s="58" t="s">
        <v>191</v>
      </c>
      <c r="B21" s="64" t="s">
        <v>189</v>
      </c>
    </row>
    <row r="28" spans="1:6" x14ac:dyDescent="0.25">
      <c r="A28" s="68" t="s">
        <v>198</v>
      </c>
      <c r="B28" s="68"/>
      <c r="C28" s="68"/>
      <c r="D28" s="68"/>
    </row>
    <row r="29" spans="1:6" x14ac:dyDescent="0.25">
      <c r="A29" s="56" t="s">
        <v>192</v>
      </c>
      <c r="B29" s="63" t="s">
        <v>193</v>
      </c>
      <c r="C29" s="63"/>
      <c r="D29" s="63"/>
    </row>
    <row r="30" spans="1:6" x14ac:dyDescent="0.25">
      <c r="A30" s="56" t="s">
        <v>194</v>
      </c>
      <c r="B30" s="63" t="s">
        <v>197</v>
      </c>
      <c r="C30" s="63"/>
      <c r="D30" s="63"/>
      <c r="F30" t="s">
        <v>196</v>
      </c>
    </row>
  </sheetData>
  <sheetProtection algorithmName="SHA-512" hashValue="Ji3KgyjFKn81AgE3lP8iEBlvo1j9Z58qmZd6ZnmFszIYu1KFdzq3AcjrazRd46hDIy8VCFNMKiaTkZ1im7WD0Q==" saltValue="RrDIq++SxlFi085lU53KSA==" spinCount="100000" sheet="1" objects="1" scenarios="1"/>
  <mergeCells count="3">
    <mergeCell ref="B29:D29"/>
    <mergeCell ref="B30:D30"/>
    <mergeCell ref="A28:D28"/>
  </mergeCells>
  <dataValidations count="2">
    <dataValidation type="list" showInputMessage="1" showErrorMessage="1" promptTitle="Studienbeginn" prompt="Bitte wähle deinen Studienbeginn Sport aus der DropDown-Liste" sqref="B21">
      <formula1>studienbeginn</formula1>
    </dataValidation>
    <dataValidation type="list" showInputMessage="1" showErrorMessage="1" sqref="B17">
      <formula1>Noten_Examen</formula1>
    </dataValidation>
  </dataValidations>
  <hyperlinks>
    <hyperlink ref="B29" r:id="rId1"/>
    <hyperlink ref="B30" r:id="rId2"/>
  </hyperlinks>
  <pageMargins left="0.7" right="0.7" top="0.78740157499999996" bottom="0.78740157499999996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M88"/>
  <sheetViews>
    <sheetView workbookViewId="0">
      <pane ySplit="1" topLeftCell="A2" activePane="bottomLeft" state="frozen"/>
      <selection pane="bottomLeft" activeCell="G54" sqref="G54"/>
    </sheetView>
  </sheetViews>
  <sheetFormatPr baseColWidth="10" defaultColWidth="9.140625" defaultRowHeight="15" outlineLevelCol="1" x14ac:dyDescent="0.25"/>
  <cols>
    <col min="1" max="1" width="19" style="8" customWidth="1"/>
    <col min="2" max="2" width="49.28515625" style="2" customWidth="1"/>
    <col min="3" max="3" width="29.42578125" style="2" customWidth="1"/>
    <col min="4" max="4" width="7.42578125" style="2" customWidth="1"/>
    <col min="5" max="5" width="10.42578125" style="2" hidden="1" customWidth="1" outlineLevel="1"/>
    <col min="6" max="6" width="9.140625" style="2" hidden="1" customWidth="1" outlineLevel="1"/>
    <col min="7" max="7" width="11.7109375" style="2" customWidth="1" collapsed="1"/>
    <col min="8" max="12" width="9.140625" style="2"/>
    <col min="13" max="13" width="11.85546875" style="2" customWidth="1"/>
    <col min="14" max="16384" width="9.140625" style="2"/>
  </cols>
  <sheetData>
    <row r="1" spans="1:13" s="1" customFormat="1" ht="44.25" customHeight="1" x14ac:dyDescent="0.25">
      <c r="A1" s="9" t="s">
        <v>77</v>
      </c>
      <c r="B1" s="1" t="s">
        <v>0</v>
      </c>
      <c r="C1" s="1" t="s">
        <v>1</v>
      </c>
      <c r="D1" s="1" t="s">
        <v>2</v>
      </c>
      <c r="E1" s="1" t="s">
        <v>78</v>
      </c>
      <c r="F1" s="1" t="s">
        <v>68</v>
      </c>
      <c r="G1" s="1" t="s">
        <v>154</v>
      </c>
    </row>
    <row r="2" spans="1:13" ht="15.75" x14ac:dyDescent="0.25">
      <c r="A2" s="10" t="s">
        <v>83</v>
      </c>
      <c r="B2" s="3" t="s">
        <v>64</v>
      </c>
    </row>
    <row r="3" spans="1:13" x14ac:dyDescent="0.25">
      <c r="A3" s="66"/>
      <c r="B3" s="2" t="s">
        <v>3</v>
      </c>
      <c r="C3" s="2" t="s">
        <v>67</v>
      </c>
      <c r="D3" s="2">
        <v>1</v>
      </c>
      <c r="E3" s="2">
        <v>0</v>
      </c>
      <c r="F3" s="4" t="str">
        <f>IF($E3&lt;&gt;0,$E3/$E$61,"")</f>
        <v/>
      </c>
      <c r="G3" s="4" t="str">
        <f>IF(E3&lt;&gt;0,F3*(2/15),"")</f>
        <v/>
      </c>
    </row>
    <row r="4" spans="1:13" x14ac:dyDescent="0.25">
      <c r="A4" s="66"/>
      <c r="B4" s="2" t="s">
        <v>4</v>
      </c>
      <c r="C4" s="2" t="s">
        <v>67</v>
      </c>
      <c r="D4" s="2">
        <v>1</v>
      </c>
      <c r="E4" s="2">
        <v>0</v>
      </c>
      <c r="F4" s="4" t="str">
        <f t="shared" ref="F4:F59" si="0">IF($E4&lt;&gt;0,$E4/$E$61,"")</f>
        <v/>
      </c>
      <c r="G4" s="4" t="str">
        <f t="shared" ref="G4:G59" si="1">IF(E4&lt;&gt;0,F4*(2/15),"")</f>
        <v/>
      </c>
    </row>
    <row r="5" spans="1:13" x14ac:dyDescent="0.25">
      <c r="A5" s="66"/>
      <c r="B5" s="2" t="s">
        <v>5</v>
      </c>
      <c r="C5" s="2" t="s">
        <v>67</v>
      </c>
      <c r="D5" s="2">
        <v>1</v>
      </c>
      <c r="E5" s="2">
        <v>0</v>
      </c>
      <c r="F5" s="4" t="str">
        <f t="shared" si="0"/>
        <v/>
      </c>
      <c r="G5" s="4" t="str">
        <f t="shared" si="1"/>
        <v/>
      </c>
    </row>
    <row r="6" spans="1:13" x14ac:dyDescent="0.25">
      <c r="A6" s="66"/>
      <c r="B6" s="2" t="s">
        <v>6</v>
      </c>
      <c r="C6" s="2" t="s">
        <v>67</v>
      </c>
      <c r="D6" s="2">
        <v>2</v>
      </c>
      <c r="E6" s="2">
        <v>0</v>
      </c>
      <c r="F6" s="4" t="str">
        <f t="shared" si="0"/>
        <v/>
      </c>
      <c r="G6" s="4" t="str">
        <f t="shared" si="1"/>
        <v/>
      </c>
    </row>
    <row r="7" spans="1:13" x14ac:dyDescent="0.25">
      <c r="A7" s="66"/>
      <c r="B7" s="2" t="s">
        <v>7</v>
      </c>
      <c r="C7" s="2" t="s">
        <v>61</v>
      </c>
      <c r="D7" s="2">
        <v>1</v>
      </c>
      <c r="E7" s="2">
        <v>0</v>
      </c>
      <c r="F7" s="4" t="str">
        <f t="shared" si="0"/>
        <v/>
      </c>
      <c r="G7" s="4" t="str">
        <f t="shared" si="1"/>
        <v/>
      </c>
    </row>
    <row r="8" spans="1:13" x14ac:dyDescent="0.25">
      <c r="A8" s="66"/>
      <c r="B8" s="2" t="s">
        <v>8</v>
      </c>
      <c r="C8" s="2" t="s">
        <v>61</v>
      </c>
      <c r="D8" s="2">
        <v>2</v>
      </c>
      <c r="E8" s="2">
        <v>0</v>
      </c>
      <c r="F8" s="4" t="str">
        <f t="shared" si="0"/>
        <v/>
      </c>
      <c r="G8" s="4" t="str">
        <f t="shared" si="1"/>
        <v/>
      </c>
      <c r="M8" s="5"/>
    </row>
    <row r="9" spans="1:13" x14ac:dyDescent="0.25">
      <c r="A9" s="66"/>
      <c r="B9" s="2" t="s">
        <v>9</v>
      </c>
      <c r="C9" s="2" t="s">
        <v>67</v>
      </c>
      <c r="D9" s="2">
        <v>2</v>
      </c>
      <c r="E9" s="2">
        <v>0</v>
      </c>
      <c r="F9" s="4" t="str">
        <f t="shared" si="0"/>
        <v/>
      </c>
      <c r="G9" s="4" t="str">
        <f t="shared" si="1"/>
        <v/>
      </c>
    </row>
    <row r="10" spans="1:13" x14ac:dyDescent="0.25">
      <c r="A10" s="66"/>
      <c r="B10" s="2" t="s">
        <v>10</v>
      </c>
      <c r="C10" s="2" t="s">
        <v>67</v>
      </c>
      <c r="D10" s="2">
        <v>2</v>
      </c>
      <c r="E10" s="2">
        <v>0</v>
      </c>
      <c r="F10" s="4" t="str">
        <f t="shared" si="0"/>
        <v/>
      </c>
      <c r="G10" s="4" t="str">
        <f t="shared" si="1"/>
        <v/>
      </c>
    </row>
    <row r="11" spans="1:13" x14ac:dyDescent="0.25">
      <c r="A11" s="66"/>
      <c r="B11" s="2" t="s">
        <v>11</v>
      </c>
      <c r="C11" s="2" t="s">
        <v>61</v>
      </c>
      <c r="D11" s="2">
        <v>1</v>
      </c>
      <c r="E11" s="2">
        <v>0</v>
      </c>
      <c r="F11" s="4" t="str">
        <f t="shared" si="0"/>
        <v/>
      </c>
      <c r="G11" s="4" t="str">
        <f t="shared" si="1"/>
        <v/>
      </c>
    </row>
    <row r="12" spans="1:13" x14ac:dyDescent="0.25">
      <c r="A12" s="66"/>
      <c r="B12" s="2" t="s">
        <v>12</v>
      </c>
      <c r="C12" s="2" t="s">
        <v>67</v>
      </c>
      <c r="D12" s="2">
        <v>2</v>
      </c>
      <c r="E12" s="2">
        <v>0</v>
      </c>
      <c r="F12" s="4" t="str">
        <f t="shared" si="0"/>
        <v/>
      </c>
      <c r="G12" s="4" t="str">
        <f t="shared" si="1"/>
        <v/>
      </c>
      <c r="M12" s="5"/>
    </row>
    <row r="13" spans="1:13" x14ac:dyDescent="0.25">
      <c r="A13" s="66"/>
      <c r="B13" s="2" t="s">
        <v>13</v>
      </c>
      <c r="C13" s="2" t="s">
        <v>61</v>
      </c>
      <c r="D13" s="2">
        <v>1</v>
      </c>
      <c r="E13" s="2">
        <v>0</v>
      </c>
      <c r="F13" s="4" t="str">
        <f t="shared" si="0"/>
        <v/>
      </c>
      <c r="G13" s="4" t="str">
        <f t="shared" si="1"/>
        <v/>
      </c>
    </row>
    <row r="14" spans="1:13" x14ac:dyDescent="0.25">
      <c r="A14" s="66"/>
      <c r="B14" s="2" t="s">
        <v>14</v>
      </c>
      <c r="C14" s="2" t="s">
        <v>66</v>
      </c>
      <c r="D14" s="2">
        <v>1</v>
      </c>
      <c r="E14" s="2">
        <v>1.25</v>
      </c>
      <c r="F14" s="4">
        <f t="shared" si="0"/>
        <v>2.6595744680851064E-2</v>
      </c>
      <c r="G14" s="4">
        <f t="shared" si="1"/>
        <v>3.5460992907801418E-3</v>
      </c>
    </row>
    <row r="15" spans="1:13" x14ac:dyDescent="0.25">
      <c r="A15" s="66"/>
      <c r="B15" s="2" t="s">
        <v>15</v>
      </c>
      <c r="C15" s="2" t="s">
        <v>66</v>
      </c>
      <c r="D15" s="2">
        <v>1</v>
      </c>
      <c r="E15" s="2">
        <v>1.25</v>
      </c>
      <c r="F15" s="4">
        <f t="shared" si="0"/>
        <v>2.6595744680851064E-2</v>
      </c>
      <c r="G15" s="4">
        <f t="shared" si="1"/>
        <v>3.5460992907801418E-3</v>
      </c>
    </row>
    <row r="16" spans="1:13" x14ac:dyDescent="0.25">
      <c r="A16" s="66"/>
      <c r="B16" s="2" t="s">
        <v>16</v>
      </c>
      <c r="C16" s="2" t="s">
        <v>66</v>
      </c>
      <c r="D16" s="2">
        <v>1</v>
      </c>
      <c r="E16" s="2">
        <v>1.25</v>
      </c>
      <c r="F16" s="4">
        <f t="shared" si="0"/>
        <v>2.6595744680851064E-2</v>
      </c>
      <c r="G16" s="4">
        <f t="shared" si="1"/>
        <v>3.5460992907801418E-3</v>
      </c>
    </row>
    <row r="17" spans="1:13" x14ac:dyDescent="0.25">
      <c r="A17" s="66"/>
      <c r="B17" s="2" t="s">
        <v>17</v>
      </c>
      <c r="C17" s="2" t="s">
        <v>66</v>
      </c>
      <c r="D17" s="2">
        <v>1</v>
      </c>
      <c r="E17" s="2">
        <v>1.25</v>
      </c>
      <c r="F17" s="4">
        <f t="shared" si="0"/>
        <v>2.6595744680851064E-2</v>
      </c>
      <c r="G17" s="4">
        <f t="shared" si="1"/>
        <v>3.5460992907801418E-3</v>
      </c>
    </row>
    <row r="18" spans="1:13" x14ac:dyDescent="0.25">
      <c r="A18" s="66"/>
      <c r="B18" s="2" t="s">
        <v>32</v>
      </c>
      <c r="C18" s="2" t="s">
        <v>66</v>
      </c>
      <c r="D18" s="2">
        <v>1</v>
      </c>
      <c r="E18" s="2">
        <v>1</v>
      </c>
      <c r="F18" s="4">
        <f t="shared" si="0"/>
        <v>2.1276595744680851E-2</v>
      </c>
      <c r="G18" s="4">
        <f t="shared" si="1"/>
        <v>2.8368794326241132E-3</v>
      </c>
    </row>
    <row r="19" spans="1:13" x14ac:dyDescent="0.25">
      <c r="A19" s="66"/>
      <c r="B19" s="2" t="s">
        <v>33</v>
      </c>
      <c r="C19" s="2" t="s">
        <v>66</v>
      </c>
      <c r="D19" s="2">
        <v>2</v>
      </c>
      <c r="E19" s="2">
        <v>2</v>
      </c>
      <c r="F19" s="4">
        <f t="shared" si="0"/>
        <v>4.2553191489361701E-2</v>
      </c>
      <c r="G19" s="4">
        <f t="shared" si="1"/>
        <v>5.6737588652482265E-3</v>
      </c>
    </row>
    <row r="20" spans="1:13" x14ac:dyDescent="0.25">
      <c r="A20" s="66"/>
      <c r="B20" s="2" t="s">
        <v>34</v>
      </c>
      <c r="C20" s="2" t="s">
        <v>66</v>
      </c>
      <c r="D20" s="2">
        <v>1</v>
      </c>
      <c r="E20" s="2">
        <v>1</v>
      </c>
      <c r="F20" s="4">
        <f t="shared" si="0"/>
        <v>2.1276595744680851E-2</v>
      </c>
      <c r="G20" s="4">
        <f t="shared" si="1"/>
        <v>2.8368794326241132E-3</v>
      </c>
    </row>
    <row r="21" spans="1:13" x14ac:dyDescent="0.25">
      <c r="A21" s="66"/>
      <c r="B21" s="2" t="s">
        <v>31</v>
      </c>
      <c r="C21" s="2" t="s">
        <v>66</v>
      </c>
      <c r="D21" s="2">
        <v>1</v>
      </c>
      <c r="E21" s="2">
        <v>1</v>
      </c>
      <c r="F21" s="4">
        <f t="shared" si="0"/>
        <v>2.1276595744680851E-2</v>
      </c>
      <c r="G21" s="4">
        <f t="shared" si="1"/>
        <v>2.8368794326241132E-3</v>
      </c>
    </row>
    <row r="22" spans="1:13" x14ac:dyDescent="0.25">
      <c r="A22" s="66"/>
      <c r="B22" s="2" t="s">
        <v>18</v>
      </c>
      <c r="C22" s="2" t="s">
        <v>67</v>
      </c>
      <c r="D22" s="2">
        <v>1</v>
      </c>
      <c r="E22" s="2">
        <v>0</v>
      </c>
      <c r="F22" s="4" t="str">
        <f t="shared" si="0"/>
        <v/>
      </c>
      <c r="G22" s="4" t="str">
        <f t="shared" si="1"/>
        <v/>
      </c>
    </row>
    <row r="23" spans="1:13" x14ac:dyDescent="0.25">
      <c r="A23" s="66"/>
      <c r="B23" s="2" t="s">
        <v>19</v>
      </c>
      <c r="C23" s="2" t="s">
        <v>67</v>
      </c>
      <c r="D23" s="2">
        <v>1</v>
      </c>
      <c r="E23" s="2">
        <v>0</v>
      </c>
      <c r="F23" s="4" t="str">
        <f t="shared" si="0"/>
        <v/>
      </c>
      <c r="G23" s="4" t="str">
        <f t="shared" si="1"/>
        <v/>
      </c>
    </row>
    <row r="24" spans="1:13" x14ac:dyDescent="0.25">
      <c r="A24" s="66"/>
      <c r="B24" s="2" t="s">
        <v>20</v>
      </c>
      <c r="C24" s="2" t="s">
        <v>67</v>
      </c>
      <c r="D24" s="2">
        <v>1</v>
      </c>
      <c r="E24" s="2">
        <v>0</v>
      </c>
      <c r="F24" s="4" t="str">
        <f t="shared" si="0"/>
        <v/>
      </c>
      <c r="G24" s="4" t="str">
        <f t="shared" si="1"/>
        <v/>
      </c>
    </row>
    <row r="25" spans="1:13" x14ac:dyDescent="0.25">
      <c r="A25" s="66"/>
      <c r="B25" s="2" t="s">
        <v>21</v>
      </c>
      <c r="C25" s="2" t="s">
        <v>67</v>
      </c>
      <c r="D25" s="2">
        <v>1</v>
      </c>
      <c r="E25" s="2">
        <v>0</v>
      </c>
      <c r="F25" s="4" t="str">
        <f t="shared" si="0"/>
        <v/>
      </c>
      <c r="G25" s="4" t="str">
        <f t="shared" si="1"/>
        <v/>
      </c>
      <c r="M25" s="5"/>
    </row>
    <row r="26" spans="1:13" x14ac:dyDescent="0.25">
      <c r="A26" s="66"/>
      <c r="B26" s="2" t="s">
        <v>22</v>
      </c>
      <c r="C26" s="2" t="s">
        <v>67</v>
      </c>
      <c r="D26" s="2">
        <v>1</v>
      </c>
      <c r="E26" s="2">
        <v>0</v>
      </c>
      <c r="F26" s="4" t="str">
        <f t="shared" si="0"/>
        <v/>
      </c>
      <c r="G26" s="4" t="str">
        <f t="shared" si="1"/>
        <v/>
      </c>
    </row>
    <row r="27" spans="1:13" x14ac:dyDescent="0.25">
      <c r="A27" s="66"/>
      <c r="B27" s="2" t="s">
        <v>35</v>
      </c>
      <c r="C27" s="2" t="s">
        <v>67</v>
      </c>
      <c r="D27" s="2">
        <v>3</v>
      </c>
      <c r="E27" s="2">
        <v>0</v>
      </c>
      <c r="F27" s="4" t="str">
        <f t="shared" si="0"/>
        <v/>
      </c>
      <c r="G27" s="4" t="str">
        <f t="shared" si="1"/>
        <v/>
      </c>
    </row>
    <row r="28" spans="1:13" x14ac:dyDescent="0.25">
      <c r="A28" s="66"/>
      <c r="B28" s="2" t="s">
        <v>36</v>
      </c>
      <c r="C28" s="2" t="s">
        <v>67</v>
      </c>
      <c r="D28" s="2">
        <v>2</v>
      </c>
      <c r="E28" s="2">
        <v>0</v>
      </c>
      <c r="F28" s="4" t="str">
        <f t="shared" si="0"/>
        <v/>
      </c>
      <c r="G28" s="4" t="str">
        <f t="shared" si="1"/>
        <v/>
      </c>
    </row>
    <row r="29" spans="1:13" x14ac:dyDescent="0.25">
      <c r="A29" s="66"/>
      <c r="B29" s="2" t="s">
        <v>41</v>
      </c>
      <c r="C29" s="2" t="s">
        <v>67</v>
      </c>
      <c r="D29" s="2">
        <v>3</v>
      </c>
      <c r="E29" s="2">
        <v>0</v>
      </c>
      <c r="F29" s="4" t="str">
        <f t="shared" si="0"/>
        <v/>
      </c>
      <c r="G29" s="4" t="str">
        <f t="shared" si="1"/>
        <v/>
      </c>
    </row>
    <row r="30" spans="1:13" x14ac:dyDescent="0.25">
      <c r="A30" s="66"/>
      <c r="B30" s="2" t="s">
        <v>42</v>
      </c>
      <c r="C30" s="2" t="s">
        <v>67</v>
      </c>
      <c r="D30" s="2">
        <v>1</v>
      </c>
      <c r="E30" s="2">
        <v>0</v>
      </c>
      <c r="F30" s="4" t="str">
        <f t="shared" si="0"/>
        <v/>
      </c>
      <c r="G30" s="4" t="str">
        <f t="shared" si="1"/>
        <v/>
      </c>
    </row>
    <row r="31" spans="1:13" x14ac:dyDescent="0.25">
      <c r="A31" s="66"/>
      <c r="B31" s="2" t="s">
        <v>40</v>
      </c>
      <c r="C31" s="2" t="s">
        <v>67</v>
      </c>
      <c r="D31" s="2">
        <v>1</v>
      </c>
      <c r="E31" s="2">
        <v>0</v>
      </c>
      <c r="F31" s="4" t="str">
        <f t="shared" si="0"/>
        <v/>
      </c>
      <c r="G31" s="4" t="str">
        <f t="shared" si="1"/>
        <v/>
      </c>
    </row>
    <row r="32" spans="1:13" x14ac:dyDescent="0.25">
      <c r="A32" s="66"/>
      <c r="B32" s="2" t="s">
        <v>23</v>
      </c>
      <c r="C32" s="2" t="s">
        <v>61</v>
      </c>
      <c r="D32" s="2">
        <v>1</v>
      </c>
      <c r="E32" s="2">
        <v>0</v>
      </c>
      <c r="F32" s="4" t="str">
        <f t="shared" si="0"/>
        <v/>
      </c>
      <c r="G32" s="4" t="str">
        <f t="shared" si="1"/>
        <v/>
      </c>
    </row>
    <row r="33" spans="1:7" x14ac:dyDescent="0.25">
      <c r="A33" s="66"/>
      <c r="B33" s="2" t="s">
        <v>25</v>
      </c>
      <c r="C33" s="2" t="s">
        <v>61</v>
      </c>
      <c r="D33" s="2">
        <v>1</v>
      </c>
      <c r="E33" s="2">
        <v>0</v>
      </c>
      <c r="F33" s="4" t="str">
        <f t="shared" si="0"/>
        <v/>
      </c>
      <c r="G33" s="4" t="str">
        <f t="shared" si="1"/>
        <v/>
      </c>
    </row>
    <row r="34" spans="1:7" x14ac:dyDescent="0.25">
      <c r="A34" s="66"/>
      <c r="B34" s="2" t="s">
        <v>24</v>
      </c>
      <c r="C34" s="2" t="s">
        <v>61</v>
      </c>
      <c r="D34" s="2">
        <v>1</v>
      </c>
      <c r="E34" s="2">
        <v>0</v>
      </c>
      <c r="F34" s="4" t="str">
        <f t="shared" si="0"/>
        <v/>
      </c>
      <c r="G34" s="4" t="str">
        <f t="shared" si="1"/>
        <v/>
      </c>
    </row>
    <row r="35" spans="1:7" x14ac:dyDescent="0.25">
      <c r="A35" s="66"/>
      <c r="B35" s="2" t="s">
        <v>26</v>
      </c>
      <c r="C35" s="2" t="s">
        <v>61</v>
      </c>
      <c r="D35" s="2">
        <v>1</v>
      </c>
      <c r="E35" s="2">
        <v>0</v>
      </c>
      <c r="F35" s="4" t="str">
        <f t="shared" si="0"/>
        <v/>
      </c>
      <c r="G35" s="4" t="str">
        <f t="shared" si="1"/>
        <v/>
      </c>
    </row>
    <row r="36" spans="1:7" x14ac:dyDescent="0.25">
      <c r="A36" s="66"/>
      <c r="B36" s="2" t="s">
        <v>62</v>
      </c>
      <c r="C36" s="2" t="s">
        <v>66</v>
      </c>
      <c r="D36" s="2">
        <v>0</v>
      </c>
      <c r="E36" s="2">
        <f>IF(Übersicht!B21="SoSe 13 oder später",4,5)</f>
        <v>4</v>
      </c>
      <c r="F36" s="4">
        <f t="shared" si="0"/>
        <v>8.5106382978723402E-2</v>
      </c>
      <c r="G36" s="4">
        <f t="shared" si="1"/>
        <v>1.1347517730496453E-2</v>
      </c>
    </row>
    <row r="37" spans="1:7" x14ac:dyDescent="0.25">
      <c r="A37" s="66"/>
      <c r="B37" s="2" t="s">
        <v>28</v>
      </c>
      <c r="C37" s="2" t="s">
        <v>61</v>
      </c>
      <c r="D37" s="2">
        <v>2</v>
      </c>
      <c r="E37" s="2">
        <v>0</v>
      </c>
      <c r="F37" s="4" t="str">
        <f t="shared" si="0"/>
        <v/>
      </c>
      <c r="G37" s="4" t="str">
        <f t="shared" si="1"/>
        <v/>
      </c>
    </row>
    <row r="38" spans="1:7" x14ac:dyDescent="0.25">
      <c r="A38" s="66"/>
      <c r="B38" s="2" t="s">
        <v>29</v>
      </c>
      <c r="C38" s="2" t="s">
        <v>61</v>
      </c>
      <c r="D38" s="2">
        <v>2</v>
      </c>
      <c r="E38" s="2">
        <v>0</v>
      </c>
      <c r="F38" s="4" t="str">
        <f t="shared" si="0"/>
        <v/>
      </c>
      <c r="G38" s="4" t="str">
        <f t="shared" si="1"/>
        <v/>
      </c>
    </row>
    <row r="39" spans="1:7" x14ac:dyDescent="0.25">
      <c r="A39" s="66"/>
      <c r="B39" s="2" t="s">
        <v>30</v>
      </c>
      <c r="C39" s="2" t="s">
        <v>61</v>
      </c>
      <c r="D39" s="2">
        <v>1</v>
      </c>
      <c r="E39" s="2">
        <v>0</v>
      </c>
      <c r="F39" s="4" t="str">
        <f t="shared" si="0"/>
        <v/>
      </c>
      <c r="G39" s="4" t="str">
        <f t="shared" si="1"/>
        <v/>
      </c>
    </row>
    <row r="40" spans="1:7" x14ac:dyDescent="0.25">
      <c r="A40" s="66"/>
      <c r="B40" s="2" t="s">
        <v>27</v>
      </c>
      <c r="C40" s="2" t="s">
        <v>61</v>
      </c>
      <c r="D40" s="2">
        <v>1</v>
      </c>
      <c r="E40" s="2">
        <v>0</v>
      </c>
      <c r="F40" s="4" t="str">
        <f t="shared" si="0"/>
        <v/>
      </c>
      <c r="G40" s="4" t="str">
        <f t="shared" si="1"/>
        <v/>
      </c>
    </row>
    <row r="41" spans="1:7" x14ac:dyDescent="0.25">
      <c r="A41" s="66"/>
      <c r="B41" s="2" t="s">
        <v>63</v>
      </c>
      <c r="C41" s="2" t="s">
        <v>66</v>
      </c>
      <c r="D41" s="2">
        <v>0</v>
      </c>
      <c r="E41" s="2">
        <f>IF(Übersicht!B21="SoSe 13 oder später",6,5)</f>
        <v>6</v>
      </c>
      <c r="F41" s="4">
        <f t="shared" si="0"/>
        <v>0.1276595744680851</v>
      </c>
      <c r="G41" s="4">
        <f t="shared" si="1"/>
        <v>1.7021276595744678E-2</v>
      </c>
    </row>
    <row r="42" spans="1:7" x14ac:dyDescent="0.25">
      <c r="A42" s="66"/>
      <c r="B42" s="2" t="s">
        <v>38</v>
      </c>
      <c r="C42" s="2" t="s">
        <v>66</v>
      </c>
      <c r="D42" s="2">
        <v>2</v>
      </c>
      <c r="E42" s="2">
        <v>2</v>
      </c>
      <c r="F42" s="4">
        <f t="shared" si="0"/>
        <v>4.2553191489361701E-2</v>
      </c>
      <c r="G42" s="4">
        <f t="shared" si="1"/>
        <v>5.6737588652482265E-3</v>
      </c>
    </row>
    <row r="43" spans="1:7" x14ac:dyDescent="0.25">
      <c r="A43" s="66"/>
      <c r="B43" s="2" t="s">
        <v>39</v>
      </c>
      <c r="C43" s="2" t="s">
        <v>66</v>
      </c>
      <c r="D43" s="2">
        <v>1</v>
      </c>
      <c r="E43" s="2">
        <v>1</v>
      </c>
      <c r="F43" s="4">
        <f t="shared" si="0"/>
        <v>2.1276595744680851E-2</v>
      </c>
      <c r="G43" s="4">
        <f t="shared" si="1"/>
        <v>2.8368794326241132E-3</v>
      </c>
    </row>
    <row r="44" spans="1:7" x14ac:dyDescent="0.25">
      <c r="A44" s="66"/>
      <c r="B44" s="2" t="s">
        <v>37</v>
      </c>
      <c r="C44" s="2" t="s">
        <v>66</v>
      </c>
      <c r="D44" s="2">
        <v>2</v>
      </c>
      <c r="E44" s="2">
        <v>2</v>
      </c>
      <c r="F44" s="4">
        <f t="shared" si="0"/>
        <v>4.2553191489361701E-2</v>
      </c>
      <c r="G44" s="4">
        <f t="shared" si="1"/>
        <v>5.6737588652482265E-3</v>
      </c>
    </row>
    <row r="45" spans="1:7" x14ac:dyDescent="0.25">
      <c r="A45" s="66"/>
      <c r="B45" s="2" t="s">
        <v>44</v>
      </c>
      <c r="C45" s="2" t="s">
        <v>67</v>
      </c>
      <c r="D45" s="2">
        <v>1</v>
      </c>
      <c r="E45" s="2">
        <v>0</v>
      </c>
      <c r="F45" s="4" t="str">
        <f t="shared" si="0"/>
        <v/>
      </c>
      <c r="G45" s="4" t="str">
        <f t="shared" si="1"/>
        <v/>
      </c>
    </row>
    <row r="46" spans="1:7" x14ac:dyDescent="0.25">
      <c r="A46" s="66"/>
      <c r="B46" s="2" t="s">
        <v>45</v>
      </c>
      <c r="C46" s="2" t="s">
        <v>67</v>
      </c>
      <c r="D46" s="2">
        <v>2</v>
      </c>
      <c r="E46" s="2">
        <v>0</v>
      </c>
      <c r="F46" s="4" t="str">
        <f t="shared" si="0"/>
        <v/>
      </c>
      <c r="G46" s="4" t="str">
        <f t="shared" si="1"/>
        <v/>
      </c>
    </row>
    <row r="47" spans="1:7" x14ac:dyDescent="0.25">
      <c r="A47" s="66"/>
      <c r="B47" s="2" t="s">
        <v>43</v>
      </c>
      <c r="C47" s="2" t="s">
        <v>67</v>
      </c>
      <c r="D47" s="2">
        <v>2</v>
      </c>
      <c r="E47" s="2">
        <v>0</v>
      </c>
      <c r="F47" s="4" t="str">
        <f t="shared" si="0"/>
        <v/>
      </c>
      <c r="G47" s="4" t="str">
        <f t="shared" si="1"/>
        <v/>
      </c>
    </row>
    <row r="48" spans="1:7" ht="45" x14ac:dyDescent="0.25">
      <c r="A48" s="66"/>
      <c r="B48" s="6" t="s">
        <v>47</v>
      </c>
      <c r="C48" s="2" t="s">
        <v>66</v>
      </c>
      <c r="D48" s="2">
        <v>2</v>
      </c>
      <c r="E48" s="2">
        <v>5</v>
      </c>
      <c r="F48" s="4">
        <f t="shared" si="0"/>
        <v>0.10638297872340426</v>
      </c>
      <c r="G48" s="4">
        <f t="shared" si="1"/>
        <v>1.4184397163120567E-2</v>
      </c>
    </row>
    <row r="49" spans="1:7" ht="45" x14ac:dyDescent="0.25">
      <c r="A49" s="66"/>
      <c r="B49" s="6" t="s">
        <v>46</v>
      </c>
      <c r="C49" s="2" t="s">
        <v>67</v>
      </c>
      <c r="D49" s="2">
        <v>3</v>
      </c>
      <c r="E49" s="2">
        <v>0</v>
      </c>
      <c r="F49" s="4" t="str">
        <f t="shared" si="0"/>
        <v/>
      </c>
      <c r="G49" s="4" t="str">
        <f t="shared" si="1"/>
        <v/>
      </c>
    </row>
    <row r="50" spans="1:7" x14ac:dyDescent="0.25">
      <c r="A50" s="66"/>
      <c r="B50" s="2" t="s">
        <v>50</v>
      </c>
      <c r="C50" s="2" t="s">
        <v>66</v>
      </c>
      <c r="D50" s="2">
        <v>2</v>
      </c>
      <c r="E50" s="2">
        <v>2</v>
      </c>
      <c r="F50" s="4">
        <f t="shared" si="0"/>
        <v>4.2553191489361701E-2</v>
      </c>
      <c r="G50" s="4">
        <f t="shared" si="1"/>
        <v>5.6737588652482265E-3</v>
      </c>
    </row>
    <row r="51" spans="1:7" x14ac:dyDescent="0.25">
      <c r="A51" s="66"/>
      <c r="B51" s="2" t="s">
        <v>53</v>
      </c>
      <c r="C51" s="2" t="s">
        <v>67</v>
      </c>
      <c r="D51" s="2">
        <v>3</v>
      </c>
      <c r="E51" s="2">
        <v>0</v>
      </c>
      <c r="F51" s="4" t="str">
        <f t="shared" si="0"/>
        <v/>
      </c>
      <c r="G51" s="4" t="str">
        <f t="shared" si="1"/>
        <v/>
      </c>
    </row>
    <row r="52" spans="1:7" x14ac:dyDescent="0.25">
      <c r="A52" s="66"/>
      <c r="B52" s="2" t="s">
        <v>55</v>
      </c>
      <c r="C52" s="2" t="s">
        <v>67</v>
      </c>
      <c r="D52" s="2">
        <v>2</v>
      </c>
      <c r="E52" s="2">
        <v>0</v>
      </c>
      <c r="F52" s="4" t="str">
        <f t="shared" si="0"/>
        <v/>
      </c>
      <c r="G52" s="4" t="str">
        <f t="shared" si="1"/>
        <v/>
      </c>
    </row>
    <row r="53" spans="1:7" ht="30" x14ac:dyDescent="0.25">
      <c r="A53" s="66"/>
      <c r="B53" s="6" t="s">
        <v>79</v>
      </c>
      <c r="C53" s="2" t="s">
        <v>67</v>
      </c>
      <c r="D53" s="2">
        <v>3</v>
      </c>
      <c r="E53" s="2">
        <v>0</v>
      </c>
      <c r="F53" s="4" t="str">
        <f t="shared" si="0"/>
        <v/>
      </c>
      <c r="G53" s="4" t="str">
        <f t="shared" si="1"/>
        <v/>
      </c>
    </row>
    <row r="54" spans="1:7" x14ac:dyDescent="0.25">
      <c r="A54" s="66"/>
      <c r="B54" s="2" t="s">
        <v>56</v>
      </c>
      <c r="C54" s="2" t="s">
        <v>66</v>
      </c>
      <c r="D54" s="2">
        <v>2</v>
      </c>
      <c r="E54" s="2">
        <v>2</v>
      </c>
      <c r="F54" s="4">
        <f t="shared" si="0"/>
        <v>4.2553191489361701E-2</v>
      </c>
      <c r="G54" s="4">
        <f t="shared" si="1"/>
        <v>5.6737588652482265E-3</v>
      </c>
    </row>
    <row r="55" spans="1:7" x14ac:dyDescent="0.25">
      <c r="A55" s="66"/>
      <c r="B55" s="2" t="s">
        <v>57</v>
      </c>
      <c r="C55" s="2" t="s">
        <v>66</v>
      </c>
      <c r="D55" s="2">
        <v>3</v>
      </c>
      <c r="E55" s="2">
        <v>3</v>
      </c>
      <c r="F55" s="4">
        <f t="shared" si="0"/>
        <v>6.3829787234042548E-2</v>
      </c>
      <c r="G55" s="4">
        <f t="shared" si="1"/>
        <v>8.5106382978723388E-3</v>
      </c>
    </row>
    <row r="56" spans="1:7" x14ac:dyDescent="0.25">
      <c r="A56" s="66"/>
      <c r="B56" s="2" t="s">
        <v>58</v>
      </c>
      <c r="C56" s="2" t="s">
        <v>66</v>
      </c>
      <c r="D56" s="2">
        <v>3</v>
      </c>
      <c r="E56" s="2">
        <v>3</v>
      </c>
      <c r="F56" s="4">
        <f t="shared" si="0"/>
        <v>6.3829787234042548E-2</v>
      </c>
      <c r="G56" s="4">
        <f t="shared" si="1"/>
        <v>8.5106382978723388E-3</v>
      </c>
    </row>
    <row r="57" spans="1:7" ht="30" x14ac:dyDescent="0.25">
      <c r="A57" s="66"/>
      <c r="B57" s="6" t="s">
        <v>80</v>
      </c>
      <c r="C57" s="2" t="s">
        <v>66</v>
      </c>
      <c r="D57" s="2">
        <v>7</v>
      </c>
      <c r="E57" s="2">
        <v>7</v>
      </c>
      <c r="F57" s="4">
        <f>IF($E57&lt;&gt;0,$E57/$E$61,"")</f>
        <v>0.14893617021276595</v>
      </c>
      <c r="G57" s="4">
        <f>IF(E57&lt;&gt;0,F57*(2/15),"")</f>
        <v>1.9858156028368792E-2</v>
      </c>
    </row>
    <row r="58" spans="1:7" x14ac:dyDescent="0.25">
      <c r="A58" s="66"/>
      <c r="B58" s="2" t="s">
        <v>59</v>
      </c>
      <c r="C58" s="2" t="s">
        <v>67</v>
      </c>
      <c r="D58" s="2">
        <v>3</v>
      </c>
      <c r="E58" s="2">
        <v>0</v>
      </c>
      <c r="F58" s="4" t="str">
        <f t="shared" si="0"/>
        <v/>
      </c>
      <c r="G58" s="4" t="str">
        <f t="shared" si="1"/>
        <v/>
      </c>
    </row>
    <row r="59" spans="1:7" x14ac:dyDescent="0.25">
      <c r="A59" s="66"/>
      <c r="B59" s="2" t="s">
        <v>60</v>
      </c>
      <c r="C59" s="2" t="s">
        <v>67</v>
      </c>
      <c r="D59" s="2">
        <v>2</v>
      </c>
      <c r="E59" s="2">
        <v>0</v>
      </c>
      <c r="F59" s="4" t="str">
        <f t="shared" si="0"/>
        <v/>
      </c>
      <c r="G59" s="4" t="str">
        <f t="shared" si="1"/>
        <v/>
      </c>
    </row>
    <row r="61" spans="1:7" x14ac:dyDescent="0.25">
      <c r="B61" s="5" t="s">
        <v>81</v>
      </c>
      <c r="D61" s="5">
        <f>SUM(D3:D59)</f>
        <v>95</v>
      </c>
      <c r="E61" s="5">
        <f>SUM(E3:E59)</f>
        <v>47</v>
      </c>
      <c r="F61" s="5"/>
      <c r="G61" s="5"/>
    </row>
    <row r="62" spans="1:7" x14ac:dyDescent="0.25">
      <c r="B62" s="5"/>
    </row>
    <row r="64" spans="1:7" ht="46.5" customHeight="1" x14ac:dyDescent="0.25">
      <c r="B64" s="3" t="s">
        <v>65</v>
      </c>
      <c r="F64" s="6" t="s">
        <v>84</v>
      </c>
      <c r="G64" s="1" t="s">
        <v>85</v>
      </c>
    </row>
    <row r="65" spans="1:7" x14ac:dyDescent="0.25">
      <c r="A65" s="66"/>
      <c r="B65" s="6" t="s">
        <v>48</v>
      </c>
      <c r="C65" s="2" t="s">
        <v>66</v>
      </c>
      <c r="D65" s="2">
        <v>2</v>
      </c>
      <c r="E65" s="2">
        <v>2</v>
      </c>
      <c r="F65" s="4">
        <f>IF($E65&lt;&gt;0,$E65/$E$71,"")</f>
        <v>0.25</v>
      </c>
      <c r="G65" s="4">
        <f>IF(E65&lt;&gt;0,F65*(1/60),"")</f>
        <v>4.1666666666666666E-3</v>
      </c>
    </row>
    <row r="66" spans="1:7" x14ac:dyDescent="0.25">
      <c r="A66" s="66"/>
      <c r="B66" s="6" t="s">
        <v>49</v>
      </c>
      <c r="C66" s="2" t="s">
        <v>66</v>
      </c>
      <c r="D66" s="2">
        <v>1</v>
      </c>
      <c r="E66" s="2">
        <v>1</v>
      </c>
      <c r="F66" s="4">
        <f t="shared" ref="F66:F69" si="2">IF($E66&lt;&gt;0,$E66/$E$71,"")</f>
        <v>0.125</v>
      </c>
      <c r="G66" s="4">
        <f t="shared" ref="G66:G69" si="3">IF(E66&lt;&gt;0,F66*(1/60),"")</f>
        <v>2.0833333333333333E-3</v>
      </c>
    </row>
    <row r="67" spans="1:7" ht="30" x14ac:dyDescent="0.25">
      <c r="A67" s="66"/>
      <c r="B67" s="6" t="s">
        <v>51</v>
      </c>
      <c r="C67" s="2" t="str">
        <f>IF(Übersicht!B21="SoSe 13 oder später","benotet (Prüfungsleistung)","unbenotet (Studienleistung)")</f>
        <v>benotet (Prüfungsleistung)</v>
      </c>
      <c r="D67" s="2">
        <v>3</v>
      </c>
      <c r="E67" s="2">
        <f>IF(Übersicht!B21="SoSe 13 oder später",3,0)</f>
        <v>3</v>
      </c>
      <c r="F67" s="4">
        <f t="shared" si="2"/>
        <v>0.375</v>
      </c>
      <c r="G67" s="4">
        <f t="shared" si="3"/>
        <v>6.2500000000000003E-3</v>
      </c>
    </row>
    <row r="68" spans="1:7" ht="30" x14ac:dyDescent="0.25">
      <c r="A68" s="66"/>
      <c r="B68" s="6" t="s">
        <v>52</v>
      </c>
      <c r="C68" s="2" t="str">
        <f>IF(Übersicht!B21="SoSe 13 oder später","benotet (Prüfungsleistung)","unbenotet (Studienleistung)")</f>
        <v>benotet (Prüfungsleistung)</v>
      </c>
      <c r="D68" s="2">
        <v>2</v>
      </c>
      <c r="E68" s="2">
        <f>IF(Übersicht!B21="SoSe 13 oder später",2,0)</f>
        <v>2</v>
      </c>
      <c r="F68" s="4">
        <f t="shared" si="2"/>
        <v>0.25</v>
      </c>
      <c r="G68" s="4">
        <f t="shared" si="3"/>
        <v>4.1666666666666666E-3</v>
      </c>
    </row>
    <row r="69" spans="1:7" x14ac:dyDescent="0.25">
      <c r="A69" s="66"/>
      <c r="B69" s="6" t="s">
        <v>54</v>
      </c>
      <c r="C69" s="2" t="s">
        <v>67</v>
      </c>
      <c r="D69" s="2">
        <v>2</v>
      </c>
      <c r="E69" s="2">
        <v>0</v>
      </c>
      <c r="F69" s="4" t="str">
        <f t="shared" si="2"/>
        <v/>
      </c>
      <c r="G69" s="4" t="str">
        <f t="shared" si="3"/>
        <v/>
      </c>
    </row>
    <row r="71" spans="1:7" x14ac:dyDescent="0.25">
      <c r="B71" s="5" t="s">
        <v>82</v>
      </c>
      <c r="D71" s="5">
        <f>SUM(D65:D69)</f>
        <v>10</v>
      </c>
      <c r="E71" s="5">
        <f>SUM(E65:E69)</f>
        <v>8</v>
      </c>
      <c r="F71" s="5"/>
      <c r="G71" s="5"/>
    </row>
    <row r="73" spans="1:7" x14ac:dyDescent="0.25">
      <c r="B73" s="5" t="s">
        <v>74</v>
      </c>
      <c r="C73" s="7" t="str">
        <f>$D$73&amp;" von 105"</f>
        <v>0 von 105</v>
      </c>
      <c r="D73" s="7">
        <f>SUMIF($A$3:$A$59,"&lt;&gt;"&amp;"",$D$3:$D$59)+SUMIF($A$65:$A$69,"&lt;&gt;"&amp;"",$D$65:$D$69)</f>
        <v>0</v>
      </c>
    </row>
    <row r="74" spans="1:7" x14ac:dyDescent="0.25">
      <c r="B74" s="5" t="s">
        <v>75</v>
      </c>
      <c r="C74" s="60">
        <f>ROUNDDOWN(IF($D$77&gt;0,SUMPRODUCT($A$3:$A$59,$G$3:$G$59)/$D$77,0),1)</f>
        <v>0</v>
      </c>
    </row>
    <row r="75" spans="1:7" x14ac:dyDescent="0.25">
      <c r="B75" s="5" t="s">
        <v>76</v>
      </c>
      <c r="C75" s="60">
        <f>ROUNDDOWN(IF($D$78&gt;0,SUMPRODUCT($A$65:$A$69,$G$65:$G$69)/$D$78,0),1)</f>
        <v>0</v>
      </c>
    </row>
    <row r="77" spans="1:7" x14ac:dyDescent="0.25">
      <c r="B77" s="26" t="s">
        <v>152</v>
      </c>
      <c r="C77" s="7" t="str">
        <f>ROUND($D$77*100,2) &amp; "% von " &amp; ROUND($G$77*100,2) &amp; "%"</f>
        <v>0% von 13,33%</v>
      </c>
      <c r="D77" s="28">
        <f>SUMIF($A$3:$A$59,"&lt;&gt;"&amp;"",$G$3:$G$59)</f>
        <v>0</v>
      </c>
      <c r="G77" s="32">
        <f>SUM($G$3:$G$59)</f>
        <v>0.1333333333333333</v>
      </c>
    </row>
    <row r="78" spans="1:7" x14ac:dyDescent="0.25">
      <c r="B78" s="26" t="s">
        <v>153</v>
      </c>
      <c r="C78" s="7" t="str">
        <f>ROUND($D$78*100,2) &amp; "% von " &amp; ROUND($G$78*100,2) &amp; "%"</f>
        <v>0% von 1,67%</v>
      </c>
      <c r="D78" s="28">
        <f>SUMIF($A$65:$A$69,"&lt;&gt;"&amp;"",$G$65:$G$69)</f>
        <v>0</v>
      </c>
      <c r="G78" s="32">
        <f>SUM($G$65:$G$69)</f>
        <v>1.6666666666666666E-2</v>
      </c>
    </row>
    <row r="83" spans="2:4" x14ac:dyDescent="0.25">
      <c r="B83" s="5"/>
      <c r="C83" s="7"/>
      <c r="D83" s="27"/>
    </row>
    <row r="84" spans="2:4" x14ac:dyDescent="0.25">
      <c r="B84" s="5"/>
      <c r="C84" s="11"/>
    </row>
    <row r="85" spans="2:4" x14ac:dyDescent="0.25">
      <c r="B85" s="5"/>
      <c r="C85" s="11"/>
    </row>
    <row r="87" spans="2:4" x14ac:dyDescent="0.25">
      <c r="B87" s="26"/>
      <c r="C87" s="7"/>
      <c r="D87" s="4"/>
    </row>
    <row r="88" spans="2:4" x14ac:dyDescent="0.25">
      <c r="B88" s="26"/>
      <c r="C88" s="7"/>
      <c r="D88" s="4"/>
    </row>
  </sheetData>
  <sheetProtection algorithmName="SHA-512" hashValue="n8f34366Cj8xYPyjfLb5neICEYGL4dN0FmXdo02Pzg+wxT20MlXpAUut8D157qulFGfZz9ueAdA8IOgmB39rOQ==" saltValue="bQfX8zHOQeYYhTSN/XWb3g==" spinCount="100000" sheet="1" objects="1" scenarios="1"/>
  <conditionalFormatting sqref="A3:G59">
    <cfRule type="expression" dxfId="13" priority="4">
      <formula>IF($A3="",TRUE)</formula>
    </cfRule>
    <cfRule type="expression" dxfId="12" priority="7">
      <formula>IF($A3&lt;&gt;"",TRUE)</formula>
    </cfRule>
  </conditionalFormatting>
  <conditionalFormatting sqref="A65:F69">
    <cfRule type="expression" dxfId="11" priority="5">
      <formula>IF($A65="",TRUE)</formula>
    </cfRule>
    <cfRule type="expression" dxfId="10" priority="6">
      <formula>IF($A65&lt;&gt;"",TRUE)</formula>
    </cfRule>
  </conditionalFormatting>
  <conditionalFormatting sqref="G65:G69">
    <cfRule type="expression" dxfId="9" priority="2">
      <formula>IF($A65="",TRUE)</formula>
    </cfRule>
    <cfRule type="expression" dxfId="8" priority="3">
      <formula>IF($A65&lt;&gt;"",TRUE)</formula>
    </cfRule>
  </conditionalFormatting>
  <dataValidations count="3">
    <dataValidation type="list" allowBlank="1" showInputMessage="1" showErrorMessage="1" sqref="C3:C69">
      <formula1>Bewertung</formula1>
    </dataValidation>
    <dataValidation type="list" allowBlank="1" showInputMessage="1" showErrorMessage="1" sqref="A65:A69 A4:A59">
      <formula1>IF($C4="unbenotet (Studienleistung)",unbenotet,IF(C4="benotet (Prüfungsleistung)",benotet,ohneP))</formula1>
    </dataValidation>
    <dataValidation type="list" showInputMessage="1" showErrorMessage="1" sqref="A3">
      <formula1>IF($C3="unbenotet (Studienleistung)",unbenotet,IF(C3="benotet (Prüfungsleistung)",benotet,ohneP))</formula1>
    </dataValidation>
  </dataValidations>
  <pageMargins left="0.7" right="0.7" top="0.75" bottom="0.75" header="0.3" footer="0.3"/>
  <pageSetup paperSize="9" orientation="portrait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E70"/>
  <sheetViews>
    <sheetView workbookViewId="0">
      <pane ySplit="1" topLeftCell="A2" activePane="bottomLeft" state="frozen"/>
      <selection pane="bottomLeft" activeCell="E70" sqref="E70"/>
    </sheetView>
  </sheetViews>
  <sheetFormatPr baseColWidth="10" defaultRowHeight="15" x14ac:dyDescent="0.25"/>
  <cols>
    <col min="1" max="1" width="16.85546875" style="23" bestFit="1" customWidth="1"/>
    <col min="2" max="2" width="53" customWidth="1"/>
    <col min="3" max="3" width="14.42578125" style="23" customWidth="1"/>
  </cols>
  <sheetData>
    <row r="1" spans="1:3" ht="42.75" customHeight="1" x14ac:dyDescent="0.25">
      <c r="A1" s="17" t="s">
        <v>116</v>
      </c>
      <c r="B1" s="17" t="s">
        <v>117</v>
      </c>
      <c r="C1" s="18" t="s">
        <v>118</v>
      </c>
    </row>
    <row r="2" spans="1:3" x14ac:dyDescent="0.25">
      <c r="A2" s="17"/>
      <c r="B2" s="12"/>
      <c r="C2" s="18"/>
    </row>
    <row r="3" spans="1:3" x14ac:dyDescent="0.25">
      <c r="A3" s="22" t="s">
        <v>83</v>
      </c>
      <c r="B3" s="14" t="s">
        <v>127</v>
      </c>
      <c r="C3" s="18"/>
    </row>
    <row r="4" spans="1:3" x14ac:dyDescent="0.25">
      <c r="A4" s="17"/>
      <c r="B4" s="12"/>
      <c r="C4" s="18"/>
    </row>
    <row r="5" spans="1:3" x14ac:dyDescent="0.25">
      <c r="A5" s="17"/>
      <c r="B5" s="12" t="s">
        <v>128</v>
      </c>
      <c r="C5" s="24">
        <f>1/70</f>
        <v>1.4285714285714285E-2</v>
      </c>
    </row>
    <row r="6" spans="1:3" x14ac:dyDescent="0.25">
      <c r="A6" s="17"/>
      <c r="B6" s="12"/>
      <c r="C6" s="24"/>
    </row>
    <row r="7" spans="1:3" x14ac:dyDescent="0.25">
      <c r="A7" s="67"/>
      <c r="B7" s="12" t="s">
        <v>135</v>
      </c>
      <c r="C7" s="24">
        <f>1/210</f>
        <v>4.7619047619047623E-3</v>
      </c>
    </row>
    <row r="8" spans="1:3" x14ac:dyDescent="0.25">
      <c r="A8" s="67"/>
      <c r="B8" s="12" t="s">
        <v>136</v>
      </c>
      <c r="C8" s="24">
        <f>1/420</f>
        <v>2.3809523809523812E-3</v>
      </c>
    </row>
    <row r="9" spans="1:3" x14ac:dyDescent="0.25">
      <c r="A9" s="67"/>
      <c r="B9" s="12" t="s">
        <v>137</v>
      </c>
      <c r="C9" s="24">
        <f>1/420</f>
        <v>2.3809523809523812E-3</v>
      </c>
    </row>
    <row r="10" spans="1:3" x14ac:dyDescent="0.25">
      <c r="A10" s="67"/>
      <c r="B10" s="12" t="s">
        <v>138</v>
      </c>
      <c r="C10" s="24">
        <f>2/420</f>
        <v>4.7619047619047623E-3</v>
      </c>
    </row>
    <row r="11" spans="1:3" x14ac:dyDescent="0.25">
      <c r="A11" s="17"/>
      <c r="B11" s="12"/>
      <c r="C11" s="18"/>
    </row>
    <row r="12" spans="1:3" x14ac:dyDescent="0.25">
      <c r="A12" s="17"/>
      <c r="B12" s="12" t="s">
        <v>129</v>
      </c>
      <c r="C12" s="24">
        <f>1/70</f>
        <v>1.4285714285714285E-2</v>
      </c>
    </row>
    <row r="13" spans="1:3" x14ac:dyDescent="0.25">
      <c r="A13" s="17"/>
      <c r="B13" s="12"/>
      <c r="C13" s="24"/>
    </row>
    <row r="14" spans="1:3" x14ac:dyDescent="0.25">
      <c r="A14" s="67"/>
      <c r="B14" s="12" t="s">
        <v>135</v>
      </c>
      <c r="C14" s="24">
        <f>1/210</f>
        <v>4.7619047619047623E-3</v>
      </c>
    </row>
    <row r="15" spans="1:3" x14ac:dyDescent="0.25">
      <c r="A15" s="67"/>
      <c r="B15" s="12" t="s">
        <v>136</v>
      </c>
      <c r="C15" s="24">
        <f>1/420</f>
        <v>2.3809523809523812E-3</v>
      </c>
    </row>
    <row r="16" spans="1:3" x14ac:dyDescent="0.25">
      <c r="A16" s="67"/>
      <c r="B16" s="12" t="s">
        <v>137</v>
      </c>
      <c r="C16" s="24">
        <f>1/420</f>
        <v>2.3809523809523812E-3</v>
      </c>
    </row>
    <row r="17" spans="1:3" x14ac:dyDescent="0.25">
      <c r="A17" s="67"/>
      <c r="B17" s="12" t="s">
        <v>138</v>
      </c>
      <c r="C17" s="24">
        <f>2/420</f>
        <v>4.7619047619047623E-3</v>
      </c>
    </row>
    <row r="18" spans="1:3" x14ac:dyDescent="0.25">
      <c r="A18" s="17"/>
      <c r="B18" s="12"/>
      <c r="C18" s="18"/>
    </row>
    <row r="19" spans="1:3" x14ac:dyDescent="0.25">
      <c r="A19" s="17"/>
      <c r="B19" s="12" t="s">
        <v>130</v>
      </c>
      <c r="C19" s="24">
        <f>1/70</f>
        <v>1.4285714285714285E-2</v>
      </c>
    </row>
    <row r="20" spans="1:3" x14ac:dyDescent="0.25">
      <c r="A20" s="17"/>
      <c r="B20" s="12"/>
      <c r="C20" s="24"/>
    </row>
    <row r="21" spans="1:3" x14ac:dyDescent="0.25">
      <c r="A21" s="67"/>
      <c r="B21" s="12" t="s">
        <v>135</v>
      </c>
      <c r="C21" s="24">
        <f>1/210</f>
        <v>4.7619047619047623E-3</v>
      </c>
    </row>
    <row r="22" spans="1:3" x14ac:dyDescent="0.25">
      <c r="A22" s="67"/>
      <c r="B22" s="12" t="s">
        <v>136</v>
      </c>
      <c r="C22" s="24">
        <f>1/(105*5)</f>
        <v>1.9047619047619048E-3</v>
      </c>
    </row>
    <row r="23" spans="1:3" x14ac:dyDescent="0.25">
      <c r="A23" s="67"/>
      <c r="B23" s="12" t="s">
        <v>137</v>
      </c>
      <c r="C23" s="24">
        <f>1/(105*5)</f>
        <v>1.9047619047619048E-3</v>
      </c>
    </row>
    <row r="24" spans="1:3" x14ac:dyDescent="0.25">
      <c r="A24" s="67"/>
      <c r="B24" s="12" t="s">
        <v>139</v>
      </c>
      <c r="C24" s="24">
        <f>1/(105*5)</f>
        <v>1.9047619047619048E-3</v>
      </c>
    </row>
    <row r="25" spans="1:3" x14ac:dyDescent="0.25">
      <c r="A25" s="67"/>
      <c r="B25" s="12" t="s">
        <v>140</v>
      </c>
      <c r="C25" s="24">
        <f>1/(105*5)</f>
        <v>1.9047619047619048E-3</v>
      </c>
    </row>
    <row r="26" spans="1:3" x14ac:dyDescent="0.25">
      <c r="A26" s="67"/>
      <c r="B26" s="12" t="s">
        <v>141</v>
      </c>
      <c r="C26" s="24">
        <f>1/(105*5)</f>
        <v>1.9047619047619048E-3</v>
      </c>
    </row>
    <row r="27" spans="1:3" x14ac:dyDescent="0.25">
      <c r="A27" s="17"/>
      <c r="B27" s="12"/>
      <c r="C27" s="18"/>
    </row>
    <row r="28" spans="1:3" x14ac:dyDescent="0.25">
      <c r="A28" s="17"/>
      <c r="B28" s="12" t="s">
        <v>131</v>
      </c>
      <c r="C28" s="24">
        <f>1/70</f>
        <v>1.4285714285714285E-2</v>
      </c>
    </row>
    <row r="29" spans="1:3" x14ac:dyDescent="0.25">
      <c r="A29" s="17"/>
      <c r="B29" s="12"/>
      <c r="C29" s="24"/>
    </row>
    <row r="30" spans="1:3" x14ac:dyDescent="0.25">
      <c r="A30" s="67"/>
      <c r="B30" s="12" t="s">
        <v>135</v>
      </c>
      <c r="C30" s="24">
        <f>1/210</f>
        <v>4.7619047619047623E-3</v>
      </c>
    </row>
    <row r="31" spans="1:3" x14ac:dyDescent="0.25">
      <c r="A31" s="67"/>
      <c r="B31" s="12" t="s">
        <v>136</v>
      </c>
      <c r="C31" s="24">
        <f>1/(105*4)</f>
        <v>2.3809523809523812E-3</v>
      </c>
    </row>
    <row r="32" spans="1:3" x14ac:dyDescent="0.25">
      <c r="A32" s="67"/>
      <c r="B32" s="12" t="s">
        <v>137</v>
      </c>
      <c r="C32" s="24">
        <f>1/(105*4)</f>
        <v>2.3809523809523812E-3</v>
      </c>
    </row>
    <row r="33" spans="1:3" x14ac:dyDescent="0.25">
      <c r="A33" s="67"/>
      <c r="B33" s="12" t="s">
        <v>138</v>
      </c>
      <c r="C33" s="24">
        <f>2/(105*4)</f>
        <v>4.7619047619047623E-3</v>
      </c>
    </row>
    <row r="34" spans="1:3" x14ac:dyDescent="0.25">
      <c r="A34" s="17"/>
      <c r="B34" s="12"/>
      <c r="C34" s="18"/>
    </row>
    <row r="35" spans="1:3" x14ac:dyDescent="0.25">
      <c r="A35" s="17"/>
      <c r="B35" s="12" t="s">
        <v>132</v>
      </c>
      <c r="C35" s="24">
        <f>1/70</f>
        <v>1.4285714285714285E-2</v>
      </c>
    </row>
    <row r="36" spans="1:3" x14ac:dyDescent="0.25">
      <c r="A36" s="17"/>
      <c r="B36" s="12"/>
      <c r="C36" s="24"/>
    </row>
    <row r="37" spans="1:3" x14ac:dyDescent="0.25">
      <c r="A37" s="67"/>
      <c r="B37" s="12" t="s">
        <v>135</v>
      </c>
      <c r="C37" s="24">
        <f>1/210</f>
        <v>4.7619047619047623E-3</v>
      </c>
    </row>
    <row r="38" spans="1:3" x14ac:dyDescent="0.25">
      <c r="A38" s="67"/>
      <c r="B38" s="12" t="s">
        <v>142</v>
      </c>
      <c r="C38" s="24">
        <f>1/(105*4)</f>
        <v>2.3809523809523812E-3</v>
      </c>
    </row>
    <row r="39" spans="1:3" x14ac:dyDescent="0.25">
      <c r="A39" s="67"/>
      <c r="B39" s="12" t="s">
        <v>143</v>
      </c>
      <c r="C39" s="24">
        <f>1/(105*4)</f>
        <v>2.3809523809523812E-3</v>
      </c>
    </row>
    <row r="40" spans="1:3" x14ac:dyDescent="0.25">
      <c r="A40" s="67"/>
      <c r="B40" s="12" t="s">
        <v>144</v>
      </c>
      <c r="C40" s="24">
        <f>1/(105*4)</f>
        <v>2.3809523809523812E-3</v>
      </c>
    </row>
    <row r="41" spans="1:3" ht="15" customHeight="1" x14ac:dyDescent="0.25">
      <c r="A41" s="67"/>
      <c r="B41" s="59" t="s">
        <v>195</v>
      </c>
      <c r="C41" s="24">
        <f>1/(105*4)</f>
        <v>2.3809523809523812E-3</v>
      </c>
    </row>
    <row r="42" spans="1:3" x14ac:dyDescent="0.25">
      <c r="A42" s="17"/>
      <c r="B42" s="12"/>
      <c r="C42" s="18"/>
    </row>
    <row r="43" spans="1:3" x14ac:dyDescent="0.25">
      <c r="A43" s="17"/>
      <c r="B43" s="12" t="s">
        <v>133</v>
      </c>
      <c r="C43" s="24">
        <f>1/70</f>
        <v>1.4285714285714285E-2</v>
      </c>
    </row>
    <row r="44" spans="1:3" x14ac:dyDescent="0.25">
      <c r="A44" s="17"/>
      <c r="B44" s="12"/>
      <c r="C44" s="24"/>
    </row>
    <row r="45" spans="1:3" x14ac:dyDescent="0.25">
      <c r="A45" s="67"/>
      <c r="B45" s="12" t="s">
        <v>135</v>
      </c>
      <c r="C45" s="24">
        <f>1/210</f>
        <v>4.7619047619047623E-3</v>
      </c>
    </row>
    <row r="46" spans="1:3" x14ac:dyDescent="0.25">
      <c r="A46" s="67"/>
      <c r="B46" s="12" t="s">
        <v>145</v>
      </c>
      <c r="C46" s="24">
        <f>1/(105*3)</f>
        <v>3.1746031746031746E-3</v>
      </c>
    </row>
    <row r="47" spans="1:3" x14ac:dyDescent="0.25">
      <c r="A47" s="67"/>
      <c r="B47" s="12" t="s">
        <v>146</v>
      </c>
      <c r="C47" s="24">
        <f>2/(105*3)</f>
        <v>6.3492063492063492E-3</v>
      </c>
    </row>
    <row r="48" spans="1:3" x14ac:dyDescent="0.25">
      <c r="A48" s="17"/>
      <c r="B48" s="12"/>
      <c r="C48" s="18"/>
    </row>
    <row r="49" spans="1:4" x14ac:dyDescent="0.25">
      <c r="A49" s="17"/>
      <c r="B49" s="12" t="s">
        <v>134</v>
      </c>
      <c r="C49" s="24">
        <f>1/70</f>
        <v>1.4285714285714285E-2</v>
      </c>
    </row>
    <row r="50" spans="1:4" x14ac:dyDescent="0.25">
      <c r="A50" s="17"/>
      <c r="B50" s="12"/>
      <c r="C50" s="24"/>
    </row>
    <row r="51" spans="1:4" x14ac:dyDescent="0.25">
      <c r="A51" s="67"/>
      <c r="B51" s="12" t="s">
        <v>135</v>
      </c>
      <c r="C51" s="24">
        <f>1/210</f>
        <v>4.7619047619047623E-3</v>
      </c>
    </row>
    <row r="52" spans="1:4" x14ac:dyDescent="0.25">
      <c r="A52" s="67"/>
      <c r="B52" s="12" t="s">
        <v>147</v>
      </c>
      <c r="C52" s="24">
        <f>1/(105*3)</f>
        <v>3.1746031746031746E-3</v>
      </c>
    </row>
    <row r="53" spans="1:4" x14ac:dyDescent="0.25">
      <c r="A53" s="67"/>
      <c r="B53" s="12" t="s">
        <v>138</v>
      </c>
      <c r="C53" s="24">
        <f>2/(105*3)</f>
        <v>6.3492063492063492E-3</v>
      </c>
    </row>
    <row r="54" spans="1:4" x14ac:dyDescent="0.25">
      <c r="A54" s="17"/>
      <c r="B54" s="12"/>
      <c r="C54" s="18"/>
    </row>
    <row r="55" spans="1:4" x14ac:dyDescent="0.25">
      <c r="A55" s="17"/>
      <c r="B55" s="12"/>
      <c r="C55" s="18"/>
    </row>
    <row r="56" spans="1:4" x14ac:dyDescent="0.25">
      <c r="B56" s="14" t="s">
        <v>64</v>
      </c>
      <c r="C56" s="18"/>
    </row>
    <row r="57" spans="1:4" ht="54" customHeight="1" x14ac:dyDescent="0.25">
      <c r="A57" s="67"/>
      <c r="B57" s="15" t="s">
        <v>122</v>
      </c>
      <c r="C57" s="19">
        <v>0.05</v>
      </c>
    </row>
    <row r="58" spans="1:4" ht="49.5" customHeight="1" x14ac:dyDescent="0.25">
      <c r="A58" s="67"/>
      <c r="B58" s="15" t="s">
        <v>123</v>
      </c>
      <c r="C58" s="19">
        <v>0.05</v>
      </c>
    </row>
    <row r="59" spans="1:4" x14ac:dyDescent="0.25">
      <c r="A59" s="17"/>
      <c r="B59" s="15"/>
      <c r="C59" s="17"/>
    </row>
    <row r="60" spans="1:4" x14ac:dyDescent="0.25">
      <c r="A60" s="17"/>
      <c r="B60" s="14" t="s">
        <v>65</v>
      </c>
      <c r="C60" s="17"/>
    </row>
    <row r="61" spans="1:4" ht="48.75" customHeight="1" x14ac:dyDescent="0.25">
      <c r="A61" s="67"/>
      <c r="B61" s="15" t="s">
        <v>124</v>
      </c>
      <c r="C61" s="20">
        <v>2.5000000000000001E-2</v>
      </c>
    </row>
    <row r="62" spans="1:4" x14ac:dyDescent="0.25">
      <c r="A62" s="17"/>
      <c r="B62" s="12"/>
      <c r="C62" s="17"/>
    </row>
    <row r="63" spans="1:4" x14ac:dyDescent="0.25">
      <c r="A63" s="17"/>
      <c r="B63" s="12"/>
      <c r="C63" s="17"/>
    </row>
    <row r="64" spans="1:4" x14ac:dyDescent="0.25">
      <c r="B64" s="16" t="s">
        <v>150</v>
      </c>
      <c r="C64" s="41">
        <f>IF($D$68&gt;0,SUM(SUMPRODUCT($A$7:$A$10,$C$7:$C$10),SUMPRODUCT($A$14:$A$17,$C$14:$C$17),SUMPRODUCT($A$21:$A$26,$C$21:$C$26),SUMPRODUCT($A$30:$A$33,$C$30:$C$33),SUMPRODUCT($A$37:$A$41,$C$37:$C$41),SUMPRODUCT($A$45:$A$47,$C$45:$C$47),SUMPRODUCT($A$51:$A$53,$C$51:$C$53))/$D$68,0)</f>
        <v>0</v>
      </c>
      <c r="D64" s="12"/>
    </row>
    <row r="65" spans="2:5" x14ac:dyDescent="0.25">
      <c r="B65" s="16" t="s">
        <v>75</v>
      </c>
      <c r="C65" s="41">
        <f>IF($D$69&gt;0,SUMPRODUCT($A$57:$A$58,$C$57:$C$58)/$D$69,0)</f>
        <v>0</v>
      </c>
      <c r="D65" s="12"/>
    </row>
    <row r="66" spans="2:5" x14ac:dyDescent="0.25">
      <c r="B66" s="16" t="s">
        <v>76</v>
      </c>
      <c r="C66" s="41">
        <f>IF($D$70&gt;0,SUMPRODUCT($A$61,$C$61)/$D$70,0)</f>
        <v>0</v>
      </c>
      <c r="D66" s="12"/>
    </row>
    <row r="68" spans="2:5" x14ac:dyDescent="0.25">
      <c r="B68" s="16" t="s">
        <v>151</v>
      </c>
      <c r="C68" s="29" t="str">
        <f>ROUND($D$68*100,2) &amp; "% von " &amp; ROUND($E$68*100,2) &amp; "%"</f>
        <v>0% von 10%</v>
      </c>
      <c r="D68" s="62">
        <f>SUMIF($A$7:$A$10,"&lt;&gt;"&amp;"",$C$7:$C$10)+SUMIF($A$14:$A$17,"&lt;&gt;"&amp;"",$C$14:$C$17)+SUMIF($A$21:$A$26,"&lt;&gt;"&amp;"",$C$21:$C$26)+SUMIF($A$30:$A$33,"&lt;&gt;"&amp;"",$C$30:$C$33)+SUMIF($A$37:$A$41,"&lt;&gt;"&amp;"",$C$37:$C$41)+SUMIF($A$45:$A$47,"&lt;&gt;"&amp;"",$C$45:$C$47)+SUMIF($A$51:$A$53,"&lt;&gt;"&amp;"",$C$51:$C$53)</f>
        <v>0</v>
      </c>
      <c r="E68" s="33">
        <f>(SUM($C$7:$C$10)+SUM($C$14:$C$17)+SUM($C$21:$C$26)+SUM($C$30:$C$33)+SUM($C$37:$C$41)+SUM($C$45:$C$47)+SUM($C$51:$C$53))</f>
        <v>0.10000000000000002</v>
      </c>
    </row>
    <row r="69" spans="2:5" x14ac:dyDescent="0.25">
      <c r="B69" s="16" t="s">
        <v>148</v>
      </c>
      <c r="C69" s="29" t="str">
        <f>ROUND($D$69*100,2) &amp; "% von " &amp; ROUND($E$69*100,2) &amp; "%"</f>
        <v>0% von 10%</v>
      </c>
      <c r="D69" s="62">
        <f>SUMIF($A$57:$A$58,"&lt;&gt;"&amp;"",$C$57:$C$58)</f>
        <v>0</v>
      </c>
      <c r="E69" s="34">
        <f>SUM($C$57:$C$58)</f>
        <v>0.1</v>
      </c>
    </row>
    <row r="70" spans="2:5" x14ac:dyDescent="0.25">
      <c r="B70" s="16" t="s">
        <v>149</v>
      </c>
      <c r="C70" s="29" t="str">
        <f>ROUND($D$70*100,2) &amp; "% von " &amp; ROUND($E$70*100,2) &amp; "%"</f>
        <v>0% von 2,5%</v>
      </c>
      <c r="D70" s="62">
        <f>SUMIF($A$61,"&lt;&gt;"&amp;"",$C$61)</f>
        <v>0</v>
      </c>
      <c r="E70" s="35">
        <f>SUM($C$61)</f>
        <v>2.5000000000000001E-2</v>
      </c>
    </row>
  </sheetData>
  <sheetProtection algorithmName="SHA-512" hashValue="pNeu8t4NVe1n/tK4obS0sy6h+JowFhqtz6Z0QKYKEHZaQrJUVXIcz4HpyQUH9n5nZu+kguGgUAHyAb3LajJ2/w==" saltValue="7VtAyTJiUErrU4HpmLADHQ==" spinCount="100000" sheet="1" objects="1" scenarios="1"/>
  <conditionalFormatting sqref="A57:C58 A61:C61 A7:C10 A14:C17 A21:C26 A30:C33 A37:C41 A45:C47 A51:C53">
    <cfRule type="expression" dxfId="7" priority="2">
      <formula>IF($A7&lt;&gt;"",TRUE)</formula>
    </cfRule>
    <cfRule type="expression" dxfId="6" priority="3">
      <formula>IF($A7="",TRUE)</formula>
    </cfRule>
  </conditionalFormatting>
  <dataValidations count="1">
    <dataValidation type="list" showInputMessage="1" showErrorMessage="1" sqref="A57:A58 A61 A7:A10 A14:A17 A21:A26 A30:A33 A37:A41 A45:A47 A51:A53">
      <formula1>Noten_Examen</formula1>
    </dataValidation>
  </dataValidation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45"/>
  <sheetViews>
    <sheetView workbookViewId="0">
      <pane ySplit="1" topLeftCell="A2" activePane="bottomLeft" state="frozen"/>
      <selection pane="bottomLeft" activeCell="G45" sqref="G45"/>
    </sheetView>
  </sheetViews>
  <sheetFormatPr baseColWidth="10" defaultColWidth="9.140625" defaultRowHeight="15" outlineLevelCol="1" x14ac:dyDescent="0.25"/>
  <cols>
    <col min="1" max="1" width="19" style="8" customWidth="1"/>
    <col min="2" max="2" width="49.28515625" style="2" customWidth="1"/>
    <col min="3" max="3" width="29.42578125" style="2" customWidth="1"/>
    <col min="4" max="4" width="7.42578125" style="2" customWidth="1"/>
    <col min="5" max="5" width="10.42578125" style="2" hidden="1" customWidth="1" outlineLevel="1"/>
    <col min="6" max="6" width="9.140625" style="2" hidden="1" customWidth="1" outlineLevel="1"/>
    <col min="7" max="7" width="11.5703125" style="2" customWidth="1" collapsed="1"/>
    <col min="8" max="12" width="9.140625" style="2"/>
    <col min="13" max="13" width="11.85546875" style="2" hidden="1" customWidth="1" outlineLevel="1"/>
    <col min="14" max="14" width="9.140625" style="2" collapsed="1"/>
    <col min="15" max="16384" width="9.140625" style="2"/>
  </cols>
  <sheetData>
    <row r="1" spans="1:13" s="1" customFormat="1" ht="46.5" customHeight="1" x14ac:dyDescent="0.25">
      <c r="A1" s="9" t="s">
        <v>111</v>
      </c>
      <c r="B1" s="1" t="s">
        <v>0</v>
      </c>
      <c r="C1" s="1" t="s">
        <v>1</v>
      </c>
      <c r="D1" s="1" t="s">
        <v>2</v>
      </c>
      <c r="E1" s="1" t="s">
        <v>78</v>
      </c>
      <c r="F1" s="1" t="s">
        <v>68</v>
      </c>
      <c r="G1" s="9" t="s">
        <v>154</v>
      </c>
    </row>
    <row r="2" spans="1:13" ht="15.75" x14ac:dyDescent="0.25">
      <c r="A2" s="10" t="s">
        <v>83</v>
      </c>
      <c r="B2" s="3" t="s">
        <v>64</v>
      </c>
    </row>
    <row r="3" spans="1:13" x14ac:dyDescent="0.25">
      <c r="A3" s="66"/>
      <c r="B3" s="2" t="s">
        <v>86</v>
      </c>
      <c r="C3" s="2" t="s">
        <v>67</v>
      </c>
      <c r="D3" s="2">
        <v>3</v>
      </c>
      <c r="E3" s="2">
        <v>0</v>
      </c>
      <c r="F3" s="4" t="str">
        <f t="shared" ref="F3:F27" si="0">IF($E3&lt;&gt;0,$E3/$E$29,"")</f>
        <v/>
      </c>
      <c r="G3" s="4" t="str">
        <f>IF(E3&lt;&gt;0,F3*(2/15),"")</f>
        <v/>
      </c>
    </row>
    <row r="4" spans="1:13" x14ac:dyDescent="0.25">
      <c r="A4" s="66"/>
      <c r="B4" s="2" t="s">
        <v>88</v>
      </c>
      <c r="C4" s="2" t="s">
        <v>67</v>
      </c>
      <c r="D4" s="2">
        <v>5.5</v>
      </c>
      <c r="E4" s="2">
        <v>0</v>
      </c>
      <c r="F4" s="4" t="str">
        <f t="shared" si="0"/>
        <v/>
      </c>
      <c r="G4" s="4" t="str">
        <f t="shared" ref="G4:G27" si="1">IF(E4&lt;&gt;0,F4*(2/15),"")</f>
        <v/>
      </c>
    </row>
    <row r="5" spans="1:13" x14ac:dyDescent="0.25">
      <c r="A5" s="66"/>
      <c r="B5" s="2" t="s">
        <v>87</v>
      </c>
      <c r="C5" s="2" t="s">
        <v>67</v>
      </c>
      <c r="D5" s="2">
        <v>3</v>
      </c>
      <c r="E5" s="2">
        <v>0</v>
      </c>
      <c r="F5" s="4" t="str">
        <f t="shared" si="0"/>
        <v/>
      </c>
      <c r="G5" s="4" t="str">
        <f t="shared" si="1"/>
        <v/>
      </c>
    </row>
    <row r="6" spans="1:13" x14ac:dyDescent="0.25">
      <c r="A6" s="66"/>
      <c r="B6" s="2" t="s">
        <v>89</v>
      </c>
      <c r="C6" s="2" t="s">
        <v>66</v>
      </c>
      <c r="D6" s="2">
        <v>6</v>
      </c>
      <c r="E6" s="2">
        <v>17.5</v>
      </c>
      <c r="F6" s="4">
        <f t="shared" si="0"/>
        <v>0.19444444444444445</v>
      </c>
      <c r="G6" s="4">
        <f t="shared" si="1"/>
        <v>2.5925925925925925E-2</v>
      </c>
    </row>
    <row r="7" spans="1:13" x14ac:dyDescent="0.25">
      <c r="A7" s="66"/>
      <c r="B7" s="2" t="s">
        <v>90</v>
      </c>
      <c r="C7" s="2" t="s">
        <v>67</v>
      </c>
      <c r="D7" s="2">
        <v>3</v>
      </c>
      <c r="E7" s="2">
        <v>0</v>
      </c>
      <c r="F7" s="4" t="str">
        <f t="shared" si="0"/>
        <v/>
      </c>
      <c r="G7" s="4" t="str">
        <f t="shared" si="1"/>
        <v/>
      </c>
    </row>
    <row r="8" spans="1:13" x14ac:dyDescent="0.25">
      <c r="A8" s="66"/>
      <c r="B8" s="2" t="s">
        <v>92</v>
      </c>
      <c r="C8" s="2" t="s">
        <v>67</v>
      </c>
      <c r="D8" s="2">
        <v>5.5</v>
      </c>
      <c r="E8" s="2">
        <v>0</v>
      </c>
      <c r="F8" s="4" t="str">
        <f t="shared" si="0"/>
        <v/>
      </c>
      <c r="G8" s="4" t="str">
        <f t="shared" si="1"/>
        <v/>
      </c>
      <c r="M8" s="5"/>
    </row>
    <row r="9" spans="1:13" x14ac:dyDescent="0.25">
      <c r="A9" s="66"/>
      <c r="B9" s="2" t="s">
        <v>91</v>
      </c>
      <c r="C9" s="2" t="s">
        <v>67</v>
      </c>
      <c r="D9" s="2">
        <v>3</v>
      </c>
      <c r="E9" s="2">
        <v>0</v>
      </c>
      <c r="F9" s="4" t="str">
        <f t="shared" si="0"/>
        <v/>
      </c>
      <c r="G9" s="4" t="str">
        <f t="shared" si="1"/>
        <v/>
      </c>
    </row>
    <row r="10" spans="1:13" x14ac:dyDescent="0.25">
      <c r="A10" s="66"/>
      <c r="B10" s="2" t="s">
        <v>93</v>
      </c>
      <c r="C10" s="2" t="s">
        <v>66</v>
      </c>
      <c r="D10" s="2">
        <v>6</v>
      </c>
      <c r="E10" s="2">
        <v>17.5</v>
      </c>
      <c r="F10" s="4">
        <f t="shared" si="0"/>
        <v>0.19444444444444445</v>
      </c>
      <c r="G10" s="4">
        <f t="shared" si="1"/>
        <v>2.5925925925925925E-2</v>
      </c>
    </row>
    <row r="11" spans="1:13" x14ac:dyDescent="0.25">
      <c r="A11" s="66"/>
      <c r="B11" s="2" t="s">
        <v>94</v>
      </c>
      <c r="C11" s="2" t="s">
        <v>67</v>
      </c>
      <c r="D11" s="2">
        <v>5</v>
      </c>
      <c r="E11" s="2">
        <v>0</v>
      </c>
      <c r="F11" s="4" t="str">
        <f t="shared" si="0"/>
        <v/>
      </c>
      <c r="G11" s="4" t="str">
        <f t="shared" si="1"/>
        <v/>
      </c>
    </row>
    <row r="12" spans="1:13" x14ac:dyDescent="0.25">
      <c r="A12" s="66"/>
      <c r="B12" s="2" t="s">
        <v>95</v>
      </c>
      <c r="C12" s="2" t="s">
        <v>67</v>
      </c>
      <c r="D12" s="2">
        <v>2</v>
      </c>
      <c r="E12" s="2">
        <v>0</v>
      </c>
      <c r="F12" s="4" t="str">
        <f t="shared" si="0"/>
        <v/>
      </c>
      <c r="G12" s="4" t="str">
        <f t="shared" si="1"/>
        <v/>
      </c>
      <c r="M12" s="5"/>
    </row>
    <row r="13" spans="1:13" x14ac:dyDescent="0.25">
      <c r="A13" s="66"/>
      <c r="B13" s="2" t="s">
        <v>96</v>
      </c>
      <c r="C13" s="2" t="s">
        <v>66</v>
      </c>
      <c r="D13" s="2">
        <v>3</v>
      </c>
      <c r="E13" s="2">
        <v>5</v>
      </c>
      <c r="F13" s="4">
        <f t="shared" si="0"/>
        <v>5.5555555555555552E-2</v>
      </c>
      <c r="G13" s="4">
        <f t="shared" si="1"/>
        <v>7.4074074074074068E-3</v>
      </c>
    </row>
    <row r="14" spans="1:13" x14ac:dyDescent="0.25">
      <c r="A14" s="66"/>
      <c r="B14" s="2" t="s">
        <v>97</v>
      </c>
      <c r="C14" s="2" t="s">
        <v>67</v>
      </c>
      <c r="D14" s="2">
        <v>4</v>
      </c>
      <c r="E14" s="2">
        <v>0</v>
      </c>
      <c r="F14" s="4" t="str">
        <f t="shared" si="0"/>
        <v/>
      </c>
      <c r="G14" s="4" t="str">
        <f t="shared" si="1"/>
        <v/>
      </c>
    </row>
    <row r="15" spans="1:13" x14ac:dyDescent="0.25">
      <c r="A15" s="66"/>
      <c r="B15" s="2" t="s">
        <v>104</v>
      </c>
      <c r="C15" s="2" t="s">
        <v>66</v>
      </c>
      <c r="D15" s="2">
        <v>6</v>
      </c>
      <c r="E15" s="2">
        <v>10</v>
      </c>
      <c r="F15" s="4">
        <f t="shared" si="0"/>
        <v>0.1111111111111111</v>
      </c>
      <c r="G15" s="4">
        <f t="shared" si="1"/>
        <v>1.4814814814814814E-2</v>
      </c>
    </row>
    <row r="16" spans="1:13" x14ac:dyDescent="0.25">
      <c r="A16" s="66"/>
      <c r="B16" s="2" t="s">
        <v>98</v>
      </c>
      <c r="C16" s="2" t="s">
        <v>67</v>
      </c>
      <c r="D16" s="2">
        <v>4</v>
      </c>
      <c r="E16" s="2">
        <v>0</v>
      </c>
      <c r="F16" s="4" t="str">
        <f t="shared" si="0"/>
        <v/>
      </c>
      <c r="G16" s="4" t="str">
        <f t="shared" si="1"/>
        <v/>
      </c>
    </row>
    <row r="17" spans="1:13" x14ac:dyDescent="0.25">
      <c r="A17" s="66"/>
      <c r="B17" s="2" t="s">
        <v>105</v>
      </c>
      <c r="C17" s="2" t="s">
        <v>66</v>
      </c>
      <c r="D17" s="2">
        <v>6</v>
      </c>
      <c r="E17" s="2">
        <v>10</v>
      </c>
      <c r="F17" s="4">
        <f t="shared" si="0"/>
        <v>0.1111111111111111</v>
      </c>
      <c r="G17" s="4">
        <f t="shared" si="1"/>
        <v>1.4814814814814814E-2</v>
      </c>
    </row>
    <row r="18" spans="1:13" x14ac:dyDescent="0.25">
      <c r="A18" s="66"/>
      <c r="B18" s="2" t="s">
        <v>99</v>
      </c>
      <c r="C18" s="2" t="s">
        <v>67</v>
      </c>
      <c r="D18" s="2">
        <v>1</v>
      </c>
      <c r="E18" s="2">
        <v>0</v>
      </c>
      <c r="F18" s="4" t="str">
        <f t="shared" si="0"/>
        <v/>
      </c>
      <c r="G18" s="4" t="str">
        <f t="shared" si="1"/>
        <v/>
      </c>
    </row>
    <row r="19" spans="1:13" x14ac:dyDescent="0.25">
      <c r="A19" s="66"/>
      <c r="B19" s="2" t="s">
        <v>106</v>
      </c>
      <c r="C19" s="2" t="s">
        <v>66</v>
      </c>
      <c r="D19" s="2">
        <v>4</v>
      </c>
      <c r="E19" s="2">
        <v>5</v>
      </c>
      <c r="F19" s="4">
        <f t="shared" si="0"/>
        <v>5.5555555555555552E-2</v>
      </c>
      <c r="G19" s="4">
        <f t="shared" si="1"/>
        <v>7.4074074074074068E-3</v>
      </c>
    </row>
    <row r="20" spans="1:13" x14ac:dyDescent="0.25">
      <c r="A20" s="66"/>
      <c r="B20" s="2" t="s">
        <v>100</v>
      </c>
      <c r="C20" s="2" t="s">
        <v>67</v>
      </c>
      <c r="D20" s="2">
        <v>4</v>
      </c>
      <c r="E20" s="2">
        <v>0</v>
      </c>
      <c r="F20" s="4" t="str">
        <f t="shared" si="0"/>
        <v/>
      </c>
      <c r="G20" s="4" t="str">
        <f t="shared" si="1"/>
        <v/>
      </c>
    </row>
    <row r="21" spans="1:13" x14ac:dyDescent="0.25">
      <c r="A21" s="66"/>
      <c r="B21" s="2" t="s">
        <v>107</v>
      </c>
      <c r="C21" s="2" t="s">
        <v>66</v>
      </c>
      <c r="D21" s="2">
        <v>6</v>
      </c>
      <c r="E21" s="2">
        <v>10</v>
      </c>
      <c r="F21" s="4">
        <f t="shared" si="0"/>
        <v>0.1111111111111111</v>
      </c>
      <c r="G21" s="4">
        <f t="shared" si="1"/>
        <v>1.4814814814814814E-2</v>
      </c>
    </row>
    <row r="22" spans="1:13" x14ac:dyDescent="0.25">
      <c r="A22" s="66"/>
      <c r="B22" s="2" t="s">
        <v>101</v>
      </c>
      <c r="C22" s="2" t="s">
        <v>67</v>
      </c>
      <c r="D22" s="2">
        <v>1</v>
      </c>
      <c r="E22" s="2">
        <v>0</v>
      </c>
      <c r="F22" s="4" t="str">
        <f t="shared" si="0"/>
        <v/>
      </c>
      <c r="G22" s="4" t="str">
        <f t="shared" si="1"/>
        <v/>
      </c>
    </row>
    <row r="23" spans="1:13" x14ac:dyDescent="0.25">
      <c r="A23" s="66"/>
      <c r="B23" s="2" t="s">
        <v>108</v>
      </c>
      <c r="C23" s="2" t="s">
        <v>66</v>
      </c>
      <c r="D23" s="2">
        <v>4</v>
      </c>
      <c r="E23" s="2">
        <v>5</v>
      </c>
      <c r="F23" s="4">
        <f t="shared" si="0"/>
        <v>5.5555555555555552E-2</v>
      </c>
      <c r="G23" s="4">
        <f t="shared" si="1"/>
        <v>7.4074074074074068E-3</v>
      </c>
    </row>
    <row r="24" spans="1:13" x14ac:dyDescent="0.25">
      <c r="A24" s="66"/>
      <c r="B24" s="2" t="s">
        <v>102</v>
      </c>
      <c r="C24" s="2" t="s">
        <v>67</v>
      </c>
      <c r="D24" s="2">
        <v>1</v>
      </c>
      <c r="E24" s="2">
        <v>0</v>
      </c>
      <c r="F24" s="4" t="str">
        <f t="shared" si="0"/>
        <v/>
      </c>
      <c r="G24" s="4" t="str">
        <f t="shared" si="1"/>
        <v/>
      </c>
    </row>
    <row r="25" spans="1:13" x14ac:dyDescent="0.25">
      <c r="A25" s="66"/>
      <c r="B25" s="2" t="s">
        <v>109</v>
      </c>
      <c r="C25" s="2" t="s">
        <v>66</v>
      </c>
      <c r="D25" s="2">
        <v>4</v>
      </c>
      <c r="E25" s="2">
        <v>5</v>
      </c>
      <c r="F25" s="4">
        <f t="shared" si="0"/>
        <v>5.5555555555555552E-2</v>
      </c>
      <c r="G25" s="4">
        <f t="shared" si="1"/>
        <v>7.4074074074074068E-3</v>
      </c>
      <c r="M25" s="5"/>
    </row>
    <row r="26" spans="1:13" x14ac:dyDescent="0.25">
      <c r="A26" s="66"/>
      <c r="B26" s="2" t="s">
        <v>103</v>
      </c>
      <c r="C26" s="2" t="s">
        <v>67</v>
      </c>
      <c r="D26" s="2">
        <v>1</v>
      </c>
      <c r="E26" s="2">
        <v>0</v>
      </c>
      <c r="F26" s="4" t="str">
        <f t="shared" si="0"/>
        <v/>
      </c>
      <c r="G26" s="4" t="str">
        <f t="shared" si="1"/>
        <v/>
      </c>
    </row>
    <row r="27" spans="1:13" x14ac:dyDescent="0.25">
      <c r="A27" s="66"/>
      <c r="B27" s="2" t="s">
        <v>110</v>
      </c>
      <c r="C27" s="2" t="s">
        <v>66</v>
      </c>
      <c r="D27" s="2">
        <v>4</v>
      </c>
      <c r="E27" s="2">
        <v>5</v>
      </c>
      <c r="F27" s="4">
        <f t="shared" si="0"/>
        <v>5.5555555555555552E-2</v>
      </c>
      <c r="G27" s="4">
        <f t="shared" si="1"/>
        <v>7.4074074074074068E-3</v>
      </c>
    </row>
    <row r="29" spans="1:13" x14ac:dyDescent="0.25">
      <c r="B29" s="5" t="s">
        <v>81</v>
      </c>
      <c r="D29" s="5">
        <f>SUM(D3:D27)</f>
        <v>95</v>
      </c>
      <c r="E29" s="5">
        <f>SUM(E3:E27)</f>
        <v>90</v>
      </c>
      <c r="F29" s="5"/>
      <c r="G29" s="5"/>
    </row>
    <row r="30" spans="1:13" x14ac:dyDescent="0.25">
      <c r="B30" s="5"/>
    </row>
    <row r="32" spans="1:13" ht="45" x14ac:dyDescent="0.25">
      <c r="B32" s="3" t="s">
        <v>65</v>
      </c>
      <c r="F32" s="6" t="s">
        <v>84</v>
      </c>
      <c r="G32" s="1" t="s">
        <v>85</v>
      </c>
    </row>
    <row r="33" spans="1:7" x14ac:dyDescent="0.25">
      <c r="A33" s="66"/>
      <c r="B33" s="6" t="s">
        <v>114</v>
      </c>
      <c r="C33" s="2" t="s">
        <v>66</v>
      </c>
      <c r="D33" s="2">
        <v>2.5</v>
      </c>
      <c r="E33" s="2">
        <v>2.5</v>
      </c>
      <c r="F33" s="4">
        <f>IF($E33&lt;&gt;0,$E33/$E$38,"")</f>
        <v>0.25</v>
      </c>
      <c r="G33" s="4">
        <f>IF(E33&lt;&gt;0,F33*(1/60),"")</f>
        <v>4.1666666666666666E-3</v>
      </c>
    </row>
    <row r="34" spans="1:7" x14ac:dyDescent="0.25">
      <c r="A34" s="66"/>
      <c r="B34" s="6" t="s">
        <v>115</v>
      </c>
      <c r="C34" s="2" t="s">
        <v>66</v>
      </c>
      <c r="D34" s="2">
        <v>2.5</v>
      </c>
      <c r="E34" s="2">
        <v>2.5</v>
      </c>
      <c r="F34" s="4">
        <f>IF($E34&lt;&gt;0,$E34/$E$38,"")</f>
        <v>0.25</v>
      </c>
      <c r="G34" s="4">
        <f t="shared" ref="G34:G36" si="2">IF(E34&lt;&gt;0,F34*(1/60),"")</f>
        <v>4.1666666666666666E-3</v>
      </c>
    </row>
    <row r="35" spans="1:7" x14ac:dyDescent="0.25">
      <c r="A35" s="66"/>
      <c r="B35" s="6" t="s">
        <v>112</v>
      </c>
      <c r="C35" s="2" t="s">
        <v>66</v>
      </c>
      <c r="D35" s="2">
        <v>2.5</v>
      </c>
      <c r="E35" s="2">
        <v>2.5</v>
      </c>
      <c r="F35" s="4">
        <f>IF($E35&lt;&gt;0,$E35/$E$38,"")</f>
        <v>0.25</v>
      </c>
      <c r="G35" s="4">
        <f t="shared" si="2"/>
        <v>4.1666666666666666E-3</v>
      </c>
    </row>
    <row r="36" spans="1:7" x14ac:dyDescent="0.25">
      <c r="A36" s="66"/>
      <c r="B36" s="6" t="s">
        <v>113</v>
      </c>
      <c r="C36" s="2" t="s">
        <v>66</v>
      </c>
      <c r="D36" s="2">
        <v>2.5</v>
      </c>
      <c r="E36" s="2">
        <v>2.5</v>
      </c>
      <c r="F36" s="4">
        <f>IF($E36&lt;&gt;0,$E36/$E$38,"")</f>
        <v>0.25</v>
      </c>
      <c r="G36" s="4">
        <f t="shared" si="2"/>
        <v>4.1666666666666666E-3</v>
      </c>
    </row>
    <row r="38" spans="1:7" x14ac:dyDescent="0.25">
      <c r="B38" s="5" t="s">
        <v>82</v>
      </c>
      <c r="D38" s="5">
        <f>SUM(D33:D36)</f>
        <v>10</v>
      </c>
      <c r="E38" s="5">
        <f>SUM(E33:E36)</f>
        <v>10</v>
      </c>
      <c r="F38" s="5"/>
      <c r="G38" s="5"/>
    </row>
    <row r="40" spans="1:7" x14ac:dyDescent="0.25">
      <c r="B40" s="5" t="s">
        <v>74</v>
      </c>
      <c r="C40" s="7" t="str">
        <f>$D$40&amp;" von 105"</f>
        <v>0 von 105</v>
      </c>
      <c r="D40" s="27">
        <f>SUMIF($A$3:$A$27,"&lt;&gt;"&amp;"",$D$3:$D$27)+SUMIF($A$33:$A$36,"&lt;&gt;"&amp;"",$D$33:$D$36)</f>
        <v>0</v>
      </c>
    </row>
    <row r="41" spans="1:7" x14ac:dyDescent="0.25">
      <c r="B41" s="5" t="s">
        <v>75</v>
      </c>
      <c r="C41" s="60">
        <f>ROUNDDOWN(IF($D$44&gt;0,SUMPRODUCT($A$3:$A$27,$G$3:$G$27)/$D$44,0),1)</f>
        <v>0</v>
      </c>
    </row>
    <row r="42" spans="1:7" x14ac:dyDescent="0.25">
      <c r="B42" s="5" t="s">
        <v>76</v>
      </c>
      <c r="C42" s="60">
        <f>ROUNDDOWN(IF($D$45&gt;0,SUMPRODUCT($A$33:$A$36,$G$33:$G$36)/$D$45,0),1)</f>
        <v>0</v>
      </c>
    </row>
    <row r="44" spans="1:7" x14ac:dyDescent="0.25">
      <c r="B44" s="26" t="s">
        <v>152</v>
      </c>
      <c r="C44" s="7" t="str">
        <f>ROUND($D$44*100,2) &amp; "% von " &amp; ROUND($G$44*100,2) &amp; "%"</f>
        <v>0% von 13,33%</v>
      </c>
      <c r="D44" s="28">
        <f>SUMIF($A$3:$A$27,"&lt;&gt;"&amp;"",$G$3:$G$27)</f>
        <v>0</v>
      </c>
      <c r="G44" s="32">
        <f>SUM($G$3:$G$27)</f>
        <v>0.13333333333333333</v>
      </c>
    </row>
    <row r="45" spans="1:7" x14ac:dyDescent="0.25">
      <c r="B45" s="26" t="s">
        <v>153</v>
      </c>
      <c r="C45" s="7" t="str">
        <f>ROUND($D$45*100,2) &amp; "% von " &amp; ROUND($G$45*100,2) &amp; "%"</f>
        <v>0% von 1,67%</v>
      </c>
      <c r="D45" s="28">
        <f>SUMIF($A$33:$A$36,"&lt;&gt;"&amp;"",$G$33:$G$36)</f>
        <v>0</v>
      </c>
      <c r="G45" s="32">
        <f>SUM($G$33:$G$36)</f>
        <v>1.6666666666666666E-2</v>
      </c>
    </row>
  </sheetData>
  <sheetProtection algorithmName="SHA-512" hashValue="lFhkSjJMWrO40MYjG32IfktFZ1ok5glzKFvjVa2EO4LF25ECXfzHsELQnXVJSWp02KN00rAYuAr4lFFbLoJ7PQ==" saltValue="NJBbK6+31+g5QVAKyHhyTw==" spinCount="100000" sheet="1" objects="1" scenarios="1"/>
  <conditionalFormatting sqref="A3:G27 A33:G36">
    <cfRule type="expression" dxfId="5" priority="4">
      <formula>IF($A3="",TRUE)</formula>
    </cfRule>
    <cfRule type="expression" dxfId="4" priority="7">
      <formula>IF($A3&lt;&gt;"",TRUE)</formula>
    </cfRule>
  </conditionalFormatting>
  <dataValidations count="2">
    <dataValidation type="list" showInputMessage="1" showErrorMessage="1" sqref="A3:A27 A33:A36">
      <formula1>IF($C3="unbenotet (Studienleistung)",unbenotet,IF(C3="benotet (Prüfungsleistung)",benotet,ohneP))</formula1>
    </dataValidation>
    <dataValidation type="list" allowBlank="1" showInputMessage="1" showErrorMessage="1" sqref="C3:C36">
      <formula1>Bewertung</formula1>
    </dataValidation>
  </dataValidations>
  <pageMargins left="0.7" right="0.7" top="0.78740157499999996" bottom="0.78740157499999996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6"/>
  <sheetViews>
    <sheetView workbookViewId="0">
      <pane ySplit="1" topLeftCell="A2" activePane="bottomLeft" state="frozen"/>
      <selection pane="bottomLeft" activeCell="F10" sqref="F10"/>
    </sheetView>
  </sheetViews>
  <sheetFormatPr baseColWidth="10" defaultRowHeight="15" x14ac:dyDescent="0.25"/>
  <cols>
    <col min="1" max="1" width="17" style="12" customWidth="1"/>
    <col min="2" max="2" width="47.7109375" style="12" bestFit="1" customWidth="1"/>
    <col min="3" max="3" width="15.140625" style="12" customWidth="1"/>
    <col min="4" max="7" width="11.42578125" style="12"/>
    <col min="8" max="8" width="11.42578125" style="12" customWidth="1"/>
    <col min="9" max="16384" width="11.42578125" style="12"/>
  </cols>
  <sheetData>
    <row r="1" spans="1:5" ht="45" customHeight="1" x14ac:dyDescent="0.25">
      <c r="A1" s="17" t="s">
        <v>116</v>
      </c>
      <c r="B1" s="17" t="s">
        <v>117</v>
      </c>
      <c r="C1" s="18" t="s">
        <v>118</v>
      </c>
    </row>
    <row r="2" spans="1:5" ht="18.75" customHeight="1" x14ac:dyDescent="0.25">
      <c r="C2" s="13"/>
    </row>
    <row r="3" spans="1:5" ht="21.75" customHeight="1" x14ac:dyDescent="0.25">
      <c r="A3" s="16" t="s">
        <v>83</v>
      </c>
      <c r="B3" s="14" t="s">
        <v>64</v>
      </c>
      <c r="C3" s="13"/>
    </row>
    <row r="4" spans="1:5" ht="45" x14ac:dyDescent="0.25">
      <c r="A4" s="67"/>
      <c r="B4" s="15" t="s">
        <v>119</v>
      </c>
      <c r="C4" s="19">
        <v>0.1</v>
      </c>
    </row>
    <row r="5" spans="1:5" ht="60" x14ac:dyDescent="0.25">
      <c r="A5" s="67"/>
      <c r="B5" s="15" t="s">
        <v>120</v>
      </c>
      <c r="C5" s="19">
        <v>0.1</v>
      </c>
    </row>
    <row r="6" spans="1:5" x14ac:dyDescent="0.25">
      <c r="B6" s="15"/>
    </row>
    <row r="7" spans="1:5" x14ac:dyDescent="0.25">
      <c r="B7" s="14" t="s">
        <v>65</v>
      </c>
    </row>
    <row r="8" spans="1:5" ht="45" x14ac:dyDescent="0.25">
      <c r="A8" s="67"/>
      <c r="B8" s="15" t="s">
        <v>121</v>
      </c>
      <c r="C8" s="20">
        <v>2.5000000000000001E-2</v>
      </c>
    </row>
    <row r="12" spans="1:5" x14ac:dyDescent="0.25">
      <c r="B12" s="16" t="s">
        <v>75</v>
      </c>
      <c r="C12" s="41">
        <f>IF($D$15&gt;0,SUMPRODUCT($A$4:$A$5,$C$4:$C$5)/$D$15,0)</f>
        <v>0</v>
      </c>
    </row>
    <row r="13" spans="1:5" x14ac:dyDescent="0.25">
      <c r="B13" s="16" t="s">
        <v>76</v>
      </c>
      <c r="C13" s="41">
        <f>IF($D$16&gt;0,SUMPRODUCT($A$8,$C$8)/$D$16,0)</f>
        <v>0</v>
      </c>
    </row>
    <row r="15" spans="1:5" x14ac:dyDescent="0.25">
      <c r="B15" s="16" t="s">
        <v>148</v>
      </c>
      <c r="C15" s="29" t="str">
        <f>ROUND($D$15*100,2) &amp; "% von " &amp; ROUND($E$15*100,2) &amp; "%"</f>
        <v>0% von 20%</v>
      </c>
      <c r="D15" s="62">
        <f>SUMIF($A$4:$A$5,"&lt;&gt;"&amp;"",$C$4:$C$5)</f>
        <v>0</v>
      </c>
      <c r="E15" s="30">
        <f>SUM($C$4:$C$5)</f>
        <v>0.2</v>
      </c>
    </row>
    <row r="16" spans="1:5" x14ac:dyDescent="0.25">
      <c r="B16" s="16" t="s">
        <v>149</v>
      </c>
      <c r="C16" s="29" t="str">
        <f>ROUND($D$16*100,2) &amp; "% von " &amp; ROUND($E$16*100,2) &amp; "%"</f>
        <v>0% von 2,5%</v>
      </c>
      <c r="D16" s="62">
        <f>SUMIF($A$8,"&lt;&gt;"&amp;"",$C$8)</f>
        <v>0</v>
      </c>
      <c r="E16" s="31">
        <f>SUM($C$8)</f>
        <v>2.5000000000000001E-2</v>
      </c>
    </row>
  </sheetData>
  <sheetProtection algorithmName="SHA-512" hashValue="tO8phX49wjY6UghbLB0x326hUq5mdYru2TIeWD/3gWiwigsUDu5WuZZY2DabUzK36rNV+Xxv9yVi/rmx1SIX+Q==" saltValue="5DfvW/zp070tvKf6xBE5rw==" spinCount="100000" sheet="1" objects="1" scenarios="1"/>
  <conditionalFormatting sqref="A4:C5 A8:C8">
    <cfRule type="expression" dxfId="3" priority="2">
      <formula>IF($A4&lt;&gt;"",TRUE)</formula>
    </cfRule>
    <cfRule type="expression" dxfId="2" priority="3">
      <formula>IF($A4="",TRUE)</formula>
    </cfRule>
  </conditionalFormatting>
  <dataValidations count="1">
    <dataValidation type="list" showInputMessage="1" showErrorMessage="1" sqref="A4:A5 A8">
      <formula1>Noten_Examen</formula1>
    </dataValidation>
  </dataValidations>
  <pageMargins left="0.7" right="0.7" top="0.78740157499999996" bottom="0.78740157499999996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M28"/>
  <sheetViews>
    <sheetView workbookViewId="0">
      <pane ySplit="1" topLeftCell="A2" activePane="bottomLeft" state="frozen"/>
      <selection pane="bottomLeft" activeCell="D29" sqref="D29"/>
    </sheetView>
  </sheetViews>
  <sheetFormatPr baseColWidth="10" defaultColWidth="9.140625" defaultRowHeight="15" outlineLevelCol="1" x14ac:dyDescent="0.25"/>
  <cols>
    <col min="1" max="1" width="19" style="8" customWidth="1"/>
    <col min="2" max="2" width="49.28515625" style="2" customWidth="1"/>
    <col min="3" max="3" width="29.42578125" style="2" customWidth="1"/>
    <col min="4" max="4" width="7.42578125" style="2" customWidth="1"/>
    <col min="5" max="5" width="10.42578125" style="2" hidden="1" customWidth="1" outlineLevel="1"/>
    <col min="6" max="6" width="9.140625" style="2" hidden="1" customWidth="1" outlineLevel="1"/>
    <col min="7" max="7" width="11.5703125" style="2" customWidth="1" collapsed="1"/>
    <col min="8" max="12" width="9.140625" style="2"/>
    <col min="13" max="13" width="11.85546875" style="2" customWidth="1"/>
    <col min="14" max="16384" width="9.140625" style="2"/>
  </cols>
  <sheetData>
    <row r="1" spans="1:13" s="1" customFormat="1" ht="46.5" customHeight="1" x14ac:dyDescent="0.25">
      <c r="A1" s="9" t="s">
        <v>111</v>
      </c>
      <c r="B1" s="1" t="s">
        <v>0</v>
      </c>
      <c r="C1" s="1" t="s">
        <v>1</v>
      </c>
      <c r="D1" s="1" t="s">
        <v>2</v>
      </c>
      <c r="E1" s="1" t="s">
        <v>78</v>
      </c>
      <c r="F1" s="1" t="s">
        <v>68</v>
      </c>
      <c r="G1" s="9" t="s">
        <v>154</v>
      </c>
    </row>
    <row r="2" spans="1:13" ht="15.75" x14ac:dyDescent="0.25">
      <c r="A2" s="10" t="s">
        <v>83</v>
      </c>
      <c r="B2" s="3" t="s">
        <v>155</v>
      </c>
    </row>
    <row r="3" spans="1:13" x14ac:dyDescent="0.25">
      <c r="A3" s="66"/>
      <c r="B3" s="2" t="s">
        <v>161</v>
      </c>
      <c r="C3" s="2" t="s">
        <v>66</v>
      </c>
      <c r="D3" s="2">
        <v>2.5</v>
      </c>
      <c r="E3" s="2">
        <v>2.5</v>
      </c>
      <c r="F3" s="4">
        <f t="shared" ref="F3:F14" si="0">IF($E3&lt;&gt;0,$E3/$E$16,"")</f>
        <v>7.1428571428571425E-2</v>
      </c>
      <c r="G3" s="4">
        <f>IF(E3&lt;&gt;0,F3*(1/20),"")</f>
        <v>3.5714285714285713E-3</v>
      </c>
    </row>
    <row r="4" spans="1:13" x14ac:dyDescent="0.25">
      <c r="A4" s="66"/>
      <c r="B4" s="2" t="s">
        <v>162</v>
      </c>
      <c r="C4" s="2" t="s">
        <v>66</v>
      </c>
      <c r="D4" s="2">
        <v>2.5</v>
      </c>
      <c r="E4" s="2">
        <v>2.5</v>
      </c>
      <c r="F4" s="4">
        <f t="shared" si="0"/>
        <v>7.1428571428571425E-2</v>
      </c>
      <c r="G4" s="4">
        <f t="shared" ref="G4:G14" si="1">IF(E4&lt;&gt;0,F4*(1/20),"")</f>
        <v>3.5714285714285713E-3</v>
      </c>
    </row>
    <row r="5" spans="1:13" x14ac:dyDescent="0.25">
      <c r="A5" s="66"/>
      <c r="B5" s="2" t="s">
        <v>163</v>
      </c>
      <c r="C5" s="2" t="s">
        <v>66</v>
      </c>
      <c r="D5" s="2">
        <v>2.5</v>
      </c>
      <c r="E5" s="2">
        <v>2.5</v>
      </c>
      <c r="F5" s="4">
        <f t="shared" si="0"/>
        <v>7.1428571428571425E-2</v>
      </c>
      <c r="G5" s="4">
        <f t="shared" si="1"/>
        <v>3.5714285714285713E-3</v>
      </c>
    </row>
    <row r="6" spans="1:13" x14ac:dyDescent="0.25">
      <c r="A6" s="66"/>
      <c r="B6" s="2" t="s">
        <v>164</v>
      </c>
      <c r="C6" s="2" t="s">
        <v>66</v>
      </c>
      <c r="D6" s="2">
        <v>2.5</v>
      </c>
      <c r="E6" s="2">
        <v>2.5</v>
      </c>
      <c r="F6" s="4">
        <f t="shared" si="0"/>
        <v>7.1428571428571425E-2</v>
      </c>
      <c r="G6" s="4">
        <f t="shared" si="1"/>
        <v>3.5714285714285713E-3</v>
      </c>
    </row>
    <row r="7" spans="1:13" s="36" customFormat="1" x14ac:dyDescent="0.25">
      <c r="A7" s="8"/>
      <c r="F7" s="37" t="str">
        <f t="shared" si="0"/>
        <v/>
      </c>
      <c r="G7" s="4" t="str">
        <f t="shared" si="1"/>
        <v/>
      </c>
    </row>
    <row r="8" spans="1:13" x14ac:dyDescent="0.25">
      <c r="A8" s="66"/>
      <c r="B8" s="2" t="s">
        <v>166</v>
      </c>
      <c r="C8" s="2" t="s">
        <v>66</v>
      </c>
      <c r="D8" s="2">
        <v>6</v>
      </c>
      <c r="E8" s="2">
        <v>6</v>
      </c>
      <c r="F8" s="4">
        <f t="shared" si="0"/>
        <v>0.17142857142857143</v>
      </c>
      <c r="G8" s="4">
        <f t="shared" si="1"/>
        <v>8.5714285714285719E-3</v>
      </c>
      <c r="M8" s="5"/>
    </row>
    <row r="9" spans="1:13" x14ac:dyDescent="0.25">
      <c r="A9" s="66"/>
      <c r="B9" s="2" t="s">
        <v>165</v>
      </c>
      <c r="C9" s="2" t="s">
        <v>66</v>
      </c>
      <c r="D9" s="2">
        <v>4</v>
      </c>
      <c r="E9" s="2">
        <v>4</v>
      </c>
      <c r="F9" s="4">
        <f t="shared" si="0"/>
        <v>0.11428571428571428</v>
      </c>
      <c r="G9" s="4">
        <f t="shared" si="1"/>
        <v>5.7142857142857143E-3</v>
      </c>
    </row>
    <row r="10" spans="1:13" x14ac:dyDescent="0.25">
      <c r="F10" s="4" t="str">
        <f t="shared" si="0"/>
        <v/>
      </c>
      <c r="G10" s="4" t="str">
        <f t="shared" si="1"/>
        <v/>
      </c>
    </row>
    <row r="11" spans="1:13" x14ac:dyDescent="0.25">
      <c r="A11" s="66"/>
      <c r="B11" s="2" t="s">
        <v>167</v>
      </c>
      <c r="C11" s="2" t="s">
        <v>66</v>
      </c>
      <c r="D11" s="2">
        <v>5</v>
      </c>
      <c r="E11" s="2">
        <v>5</v>
      </c>
      <c r="F11" s="4">
        <f t="shared" si="0"/>
        <v>0.14285714285714285</v>
      </c>
      <c r="G11" s="4">
        <f t="shared" si="1"/>
        <v>7.1428571428571426E-3</v>
      </c>
    </row>
    <row r="12" spans="1:13" x14ac:dyDescent="0.25">
      <c r="A12" s="66"/>
      <c r="B12" s="2" t="s">
        <v>168</v>
      </c>
      <c r="C12" s="2" t="s">
        <v>66</v>
      </c>
      <c r="D12" s="2">
        <v>3</v>
      </c>
      <c r="E12" s="2">
        <v>3</v>
      </c>
      <c r="F12" s="4">
        <f t="shared" si="0"/>
        <v>8.5714285714285715E-2</v>
      </c>
      <c r="G12" s="4">
        <f t="shared" si="1"/>
        <v>4.2857142857142859E-3</v>
      </c>
      <c r="M12" s="5"/>
    </row>
    <row r="13" spans="1:13" x14ac:dyDescent="0.25">
      <c r="A13" s="66"/>
      <c r="B13" s="2" t="s">
        <v>169</v>
      </c>
      <c r="C13" s="2" t="s">
        <v>66</v>
      </c>
      <c r="D13" s="2">
        <v>3.5</v>
      </c>
      <c r="E13" s="2">
        <v>3.5</v>
      </c>
      <c r="F13" s="4">
        <f t="shared" si="0"/>
        <v>0.1</v>
      </c>
      <c r="G13" s="4">
        <f t="shared" si="1"/>
        <v>5.000000000000001E-3</v>
      </c>
    </row>
    <row r="14" spans="1:13" x14ac:dyDescent="0.25">
      <c r="A14" s="66"/>
      <c r="B14" s="2" t="s">
        <v>171</v>
      </c>
      <c r="C14" s="2" t="s">
        <v>66</v>
      </c>
      <c r="D14" s="2">
        <v>3.5</v>
      </c>
      <c r="E14" s="2">
        <v>3.5</v>
      </c>
      <c r="F14" s="4">
        <f t="shared" si="0"/>
        <v>0.1</v>
      </c>
      <c r="G14" s="4">
        <f t="shared" si="1"/>
        <v>5.000000000000001E-3</v>
      </c>
    </row>
    <row r="16" spans="1:13" x14ac:dyDescent="0.25">
      <c r="B16" s="5" t="s">
        <v>81</v>
      </c>
      <c r="D16" s="5">
        <f>SUM(D3:D14)</f>
        <v>35</v>
      </c>
      <c r="E16" s="5">
        <f>SUM(E3:E14)</f>
        <v>35</v>
      </c>
      <c r="F16" s="5"/>
      <c r="G16" s="5"/>
    </row>
    <row r="17" spans="1:7" x14ac:dyDescent="0.25">
      <c r="B17" s="5"/>
    </row>
    <row r="19" spans="1:7" ht="45" x14ac:dyDescent="0.25">
      <c r="B19" s="3" t="s">
        <v>156</v>
      </c>
      <c r="F19" s="6"/>
      <c r="G19" s="1" t="s">
        <v>85</v>
      </c>
    </row>
    <row r="20" spans="1:7" x14ac:dyDescent="0.25">
      <c r="A20" s="66"/>
      <c r="B20" s="6" t="s">
        <v>170</v>
      </c>
      <c r="F20" s="4"/>
      <c r="G20" s="25">
        <v>7.4999999999999997E-2</v>
      </c>
    </row>
    <row r="23" spans="1:7" x14ac:dyDescent="0.25">
      <c r="B23" s="5" t="s">
        <v>74</v>
      </c>
      <c r="C23" s="7" t="str">
        <f>$D$23&amp;" von 35"</f>
        <v>0 von 35</v>
      </c>
      <c r="D23" s="27">
        <f>SUMIF($A$3:$A$14,"&lt;&gt;"&amp;"",$D$3:$D$14)</f>
        <v>0</v>
      </c>
    </row>
    <row r="24" spans="1:7" x14ac:dyDescent="0.25">
      <c r="B24" s="5" t="s">
        <v>159</v>
      </c>
      <c r="C24" s="60">
        <f>ROUNDDOWN(IF($D$27&gt;0,SUMPRODUCT($A$3:$A$14,$G$3:$G$14)/$D$27,0),1)</f>
        <v>0</v>
      </c>
    </row>
    <row r="25" spans="1:7" x14ac:dyDescent="0.25">
      <c r="B25" s="5" t="s">
        <v>160</v>
      </c>
      <c r="C25" s="11">
        <f>IF($D$28&gt;0,SUMPRODUCT($A$20:$A$20,$G$20:$G$20)/$D$28,0)</f>
        <v>0</v>
      </c>
    </row>
    <row r="27" spans="1:7" x14ac:dyDescent="0.25">
      <c r="B27" s="26" t="s">
        <v>157</v>
      </c>
      <c r="C27" s="7" t="str">
        <f>ROUND($D$27*100,2) &amp; "% von " &amp; ROUND($G$27*100,2) &amp; "%"</f>
        <v>0% von 5%</v>
      </c>
      <c r="D27" s="28">
        <f>SUMIF($A$3:$A$14,"&lt;&gt;"&amp;"",$G$3:$G$14)</f>
        <v>0</v>
      </c>
      <c r="G27" s="32">
        <f>SUM($G$3:$G$14)</f>
        <v>0.05</v>
      </c>
    </row>
    <row r="28" spans="1:7" x14ac:dyDescent="0.25">
      <c r="B28" s="26" t="s">
        <v>158</v>
      </c>
      <c r="C28" s="7" t="str">
        <f>ROUND($D$28*100,2) &amp; "% von " &amp; ROUND($G$28*100,2) &amp; "%"</f>
        <v>0% von 7,5%</v>
      </c>
      <c r="D28" s="28">
        <f>SUMIF($A$20:$A$20,"&lt;&gt;"&amp;"",$G$20:$G$20)</f>
        <v>0</v>
      </c>
      <c r="G28" s="32">
        <f>SUM($G$20:$G$20)</f>
        <v>7.4999999999999997E-2</v>
      </c>
    </row>
  </sheetData>
  <sheetProtection algorithmName="SHA-512" hashValue="h90L+ozvQd0A6DcP0UrL/vObxM+K4mfgrRXiPKALmRBgbdhm3kUePFCDYMkXmjTkNBMtoU/yZCd7uh6SXgUbPQ==" saltValue="wvgInRIwarnkCZKbSNITNw==" spinCount="100000" sheet="1" objects="1" scenarios="1"/>
  <conditionalFormatting sqref="A3:G6 A8:G9 A11:G14 A20:G20">
    <cfRule type="expression" dxfId="1" priority="2">
      <formula>IF($A3="",TRUE)</formula>
    </cfRule>
    <cfRule type="expression" dxfId="0" priority="3">
      <formula>IF($A3&lt;&gt;"",TRUE)</formula>
    </cfRule>
  </conditionalFormatting>
  <dataValidations count="3">
    <dataValidation type="list" allowBlank="1" showInputMessage="1" showErrorMessage="1" sqref="C3:C20">
      <formula1>Bewertung</formula1>
    </dataValidation>
    <dataValidation type="list" showInputMessage="1" showErrorMessage="1" sqref="A20">
      <formula1>Noten_Examen</formula1>
    </dataValidation>
    <dataValidation type="list" showInputMessage="1" showErrorMessage="1" sqref="A3:A6 A8:A9 A11:A14">
      <formula1>benotet</formula1>
    </dataValidation>
  </dataValidations>
  <pageMargins left="0.7" right="0.7" top="0.78740157499999996" bottom="0.78740157499999996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2"/>
  <sheetViews>
    <sheetView workbookViewId="0">
      <selection activeCell="B6" sqref="B6"/>
    </sheetView>
  </sheetViews>
  <sheetFormatPr baseColWidth="10" defaultRowHeight="15" x14ac:dyDescent="0.25"/>
  <cols>
    <col min="1" max="1" width="26.7109375" bestFit="1" customWidth="1"/>
    <col min="2" max="2" width="11" bestFit="1" customWidth="1"/>
    <col min="3" max="3" width="13.5703125" bestFit="1" customWidth="1"/>
    <col min="4" max="4" width="8.7109375" bestFit="1" customWidth="1"/>
    <col min="5" max="6" width="14.5703125" bestFit="1" customWidth="1"/>
  </cols>
  <sheetData>
    <row r="1" spans="1:8" s="21" customFormat="1" x14ac:dyDescent="0.25">
      <c r="A1" s="21" t="s">
        <v>126</v>
      </c>
      <c r="B1" s="5" t="s">
        <v>69</v>
      </c>
      <c r="C1" s="5" t="s">
        <v>72</v>
      </c>
      <c r="D1" s="5" t="s">
        <v>71</v>
      </c>
      <c r="E1" s="16" t="s">
        <v>125</v>
      </c>
      <c r="F1" s="21" t="s">
        <v>188</v>
      </c>
      <c r="H1" s="5"/>
    </row>
    <row r="2" spans="1:8" x14ac:dyDescent="0.25">
      <c r="A2" s="2" t="s">
        <v>66</v>
      </c>
      <c r="B2" s="2"/>
      <c r="C2" s="2"/>
      <c r="D2" s="2"/>
      <c r="E2" s="12"/>
      <c r="F2" t="s">
        <v>189</v>
      </c>
      <c r="H2" s="2"/>
    </row>
    <row r="3" spans="1:8" x14ac:dyDescent="0.25">
      <c r="A3" s="2" t="s">
        <v>67</v>
      </c>
      <c r="B3" s="2" t="s">
        <v>70</v>
      </c>
      <c r="C3" s="2" t="s">
        <v>73</v>
      </c>
      <c r="D3" s="2">
        <v>1</v>
      </c>
      <c r="E3" s="12">
        <v>1</v>
      </c>
      <c r="F3" s="57" t="s">
        <v>190</v>
      </c>
      <c r="H3" s="2"/>
    </row>
    <row r="4" spans="1:8" x14ac:dyDescent="0.25">
      <c r="A4" s="2" t="s">
        <v>61</v>
      </c>
      <c r="D4" s="2">
        <v>1.3</v>
      </c>
      <c r="E4" s="12">
        <v>2</v>
      </c>
      <c r="H4" s="2"/>
    </row>
    <row r="5" spans="1:8" x14ac:dyDescent="0.25">
      <c r="D5" s="2">
        <v>1.7</v>
      </c>
      <c r="E5" s="12">
        <v>3</v>
      </c>
      <c r="H5" s="2"/>
    </row>
    <row r="6" spans="1:8" x14ac:dyDescent="0.25">
      <c r="D6" s="2">
        <v>2</v>
      </c>
      <c r="E6" s="12">
        <v>4</v>
      </c>
    </row>
    <row r="7" spans="1:8" x14ac:dyDescent="0.25">
      <c r="D7" s="2">
        <v>2.2999999999999998</v>
      </c>
      <c r="E7" s="12">
        <v>5</v>
      </c>
    </row>
    <row r="8" spans="1:8" x14ac:dyDescent="0.25">
      <c r="D8" s="2">
        <v>2.7</v>
      </c>
      <c r="E8" s="12">
        <v>6</v>
      </c>
    </row>
    <row r="9" spans="1:8" x14ac:dyDescent="0.25">
      <c r="D9" s="2">
        <v>3</v>
      </c>
      <c r="H9" s="2"/>
    </row>
    <row r="10" spans="1:8" x14ac:dyDescent="0.25">
      <c r="D10" s="2">
        <v>3.3</v>
      </c>
    </row>
    <row r="11" spans="1:8" x14ac:dyDescent="0.25">
      <c r="D11" s="2">
        <v>3.7</v>
      </c>
    </row>
    <row r="12" spans="1:8" x14ac:dyDescent="0.25">
      <c r="D12" s="2">
        <v>4</v>
      </c>
    </row>
    <row r="22" spans="8:8" x14ac:dyDescent="0.25">
      <c r="H22" s="2"/>
    </row>
  </sheetData>
  <sheetProtection algorithmName="SHA-512" hashValue="KUbNvW1T2+UfpkwRbJ/NAKRIDBZ4YKuTMy4JS/czJwuV4zpw7BIjhQ+8NzR1vkfY9DKB4liN8AfI+zOPi3vL0Q==" saltValue="hGap+rQOB2slESo1NmEw2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Übersicht</vt:lpstr>
      <vt:lpstr>Sport Studium</vt:lpstr>
      <vt:lpstr>Sport Examen</vt:lpstr>
      <vt:lpstr>Mathe Studium</vt:lpstr>
      <vt:lpstr>Mathe Examen</vt:lpstr>
      <vt:lpstr>EWS</vt:lpstr>
      <vt:lpstr>Dropdown-Listen</vt:lpstr>
      <vt:lpstr>benotet</vt:lpstr>
      <vt:lpstr>Bewertung</vt:lpstr>
      <vt:lpstr>Noten_Examen</vt:lpstr>
      <vt:lpstr>ohneP</vt:lpstr>
      <vt:lpstr>studienbeginn</vt:lpstr>
      <vt:lpstr>unbenotet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2015-07-10T13:00:59Z</dcterms:modified>
</cp:coreProperties>
</file>